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boumalhab/Desktop/MU - Documents Finalized/"/>
    </mc:Choice>
  </mc:AlternateContent>
  <xr:revisionPtr revIDLastSave="0" documentId="13_ncr:1_{6820C36A-7C08-9D40-AA37-CA5E1E18B3D9}" xr6:coauthVersionLast="47" xr6:coauthVersionMax="47" xr10:uidLastSave="{00000000-0000-0000-0000-000000000000}"/>
  <bookViews>
    <workbookView xWindow="-4880" yWindow="-21600" windowWidth="38400" windowHeight="21600" activeTab="3" xr2:uid="{4E208315-8964-6342-A426-B22182663640}"/>
  </bookViews>
  <sheets>
    <sheet name="Valuation Project" sheetId="2" r:id="rId1"/>
    <sheet name="Comp Analysis" sheetId="3" r:id="rId2"/>
    <sheet name="Ke Related Data" sheetId="4" r:id="rId3"/>
    <sheet name="DCF Sensivity" sheetId="10" r:id="rId4"/>
    <sheet name="Comp Analysis Tables" sheetId="11" r:id="rId5"/>
    <sheet name="Tables &amp; Graphs" sheetId="6" state="hidden" r:id="rId6"/>
    <sheet name="Histroical preformance" sheetId="9" state="hidden" r:id="rId7"/>
  </sheets>
  <definedNames>
    <definedName name="TG_Cell" localSheetId="0">'Valuation Project'!$J$212</definedName>
    <definedName name="WACC_Cell" localSheetId="0">'Valuation Project'!$E$209</definedName>
  </definedNames>
  <calcPr calcId="191029" iterate="1" iterateCount="1000" iterateDelta="1E-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1" l="1"/>
  <c r="S15" i="3"/>
  <c r="C16" i="3"/>
  <c r="G35" i="11"/>
  <c r="F35" i="11"/>
  <c r="E35" i="11"/>
  <c r="D35" i="11"/>
  <c r="C35" i="11"/>
  <c r="G34" i="11"/>
  <c r="F34" i="11"/>
  <c r="E34" i="11"/>
  <c r="D34" i="11"/>
  <c r="C34" i="11"/>
  <c r="G33" i="11"/>
  <c r="F33" i="11"/>
  <c r="E33" i="11"/>
  <c r="E36" i="11" s="1"/>
  <c r="D33" i="11"/>
  <c r="D36" i="11" s="1"/>
  <c r="I32" i="11"/>
  <c r="G32" i="11"/>
  <c r="F32" i="11"/>
  <c r="E32" i="11"/>
  <c r="D32" i="11"/>
  <c r="C32" i="11"/>
  <c r="G30" i="11"/>
  <c r="I30" i="11" s="1"/>
  <c r="F30" i="11"/>
  <c r="E30" i="11"/>
  <c r="D30" i="11"/>
  <c r="C30" i="11"/>
  <c r="G29" i="11"/>
  <c r="F29" i="11"/>
  <c r="E29" i="11"/>
  <c r="D29" i="11"/>
  <c r="J28" i="11"/>
  <c r="C28" i="11"/>
  <c r="C29" i="11" s="1"/>
  <c r="J25" i="11"/>
  <c r="I25" i="11"/>
  <c r="G25" i="11"/>
  <c r="F25" i="11"/>
  <c r="E25" i="11"/>
  <c r="D25" i="11"/>
  <c r="C25" i="11"/>
  <c r="H25" i="11" s="1"/>
  <c r="J24" i="11"/>
  <c r="I24" i="11"/>
  <c r="G24" i="11"/>
  <c r="F24" i="11"/>
  <c r="E24" i="11"/>
  <c r="D24" i="11"/>
  <c r="C24" i="11"/>
  <c r="H24" i="11" s="1"/>
  <c r="J23" i="11"/>
  <c r="I23" i="11"/>
  <c r="G23" i="11"/>
  <c r="F23" i="11"/>
  <c r="E23" i="11"/>
  <c r="H10" i="11" s="1"/>
  <c r="D23" i="11"/>
  <c r="C23" i="11"/>
  <c r="H23" i="11" s="1"/>
  <c r="J18" i="11"/>
  <c r="I18" i="11"/>
  <c r="G18" i="11"/>
  <c r="F18" i="11"/>
  <c r="E18" i="11"/>
  <c r="D18" i="11"/>
  <c r="C18" i="11"/>
  <c r="H18" i="11" s="1"/>
  <c r="J16" i="11"/>
  <c r="G16" i="11"/>
  <c r="F16" i="11"/>
  <c r="E16" i="11"/>
  <c r="D16" i="11"/>
  <c r="C16" i="11"/>
  <c r="J14" i="11"/>
  <c r="G14" i="11"/>
  <c r="F14" i="11"/>
  <c r="E14" i="11"/>
  <c r="D14" i="11"/>
  <c r="C14" i="11"/>
  <c r="J13" i="11"/>
  <c r="G13" i="11"/>
  <c r="F13" i="11"/>
  <c r="E13" i="11"/>
  <c r="D13" i="11"/>
  <c r="C13" i="11"/>
  <c r="J10" i="11"/>
  <c r="I10" i="11"/>
  <c r="G10" i="11"/>
  <c r="F10" i="11"/>
  <c r="E10" i="11"/>
  <c r="D10" i="11"/>
  <c r="C10" i="11"/>
  <c r="J4" i="11"/>
  <c r="G4" i="11"/>
  <c r="G31" i="11" s="1"/>
  <c r="F4" i="11"/>
  <c r="I4" i="11" s="1"/>
  <c r="E4" i="11"/>
  <c r="E31" i="11" s="1"/>
  <c r="D4" i="11"/>
  <c r="D31" i="11" s="1"/>
  <c r="C4" i="11"/>
  <c r="C31" i="11" s="1"/>
  <c r="J3" i="11"/>
  <c r="G3" i="11"/>
  <c r="D3" i="11"/>
  <c r="C3" i="11"/>
  <c r="C268" i="2"/>
  <c r="F116" i="2"/>
  <c r="E116" i="2"/>
  <c r="E112" i="2"/>
  <c r="E209" i="2"/>
  <c r="J223" i="2"/>
  <c r="J233" i="2"/>
  <c r="J212" i="2"/>
  <c r="C234" i="2"/>
  <c r="I233" i="2"/>
  <c r="I238" i="2"/>
  <c r="E78" i="2"/>
  <c r="D79" i="2"/>
  <c r="F78" i="2"/>
  <c r="G78" i="2"/>
  <c r="H78" i="2"/>
  <c r="I78" i="2"/>
  <c r="J78" i="2"/>
  <c r="K78" i="2"/>
  <c r="L78" i="2"/>
  <c r="M78" i="2"/>
  <c r="N78" i="2"/>
  <c r="O78" i="2"/>
  <c r="E3" i="11" l="1"/>
  <c r="F36" i="11"/>
  <c r="F3" i="11"/>
  <c r="H3" i="11" s="1"/>
  <c r="G36" i="11"/>
  <c r="I14" i="11"/>
  <c r="H32" i="11"/>
  <c r="H13" i="11"/>
  <c r="C36" i="11"/>
  <c r="H29" i="11"/>
  <c r="I29" i="11"/>
  <c r="H14" i="11"/>
  <c r="I3" i="11"/>
  <c r="I13" i="11"/>
  <c r="F31" i="11"/>
  <c r="I31" i="11" s="1"/>
  <c r="H4" i="11"/>
  <c r="H30" i="11"/>
  <c r="D6" i="2"/>
  <c r="D7" i="2"/>
  <c r="D5" i="2"/>
  <c r="C5" i="2"/>
  <c r="C12" i="2" s="1"/>
  <c r="C16" i="2" s="1"/>
  <c r="C18" i="2" s="1"/>
  <c r="C48" i="2" s="1"/>
  <c r="Q20" i="3"/>
  <c r="M20" i="3"/>
  <c r="L20" i="3"/>
  <c r="F20" i="3"/>
  <c r="D20" i="3"/>
  <c r="Q17" i="3"/>
  <c r="F17" i="3"/>
  <c r="D17" i="3"/>
  <c r="Q16" i="3"/>
  <c r="P16" i="3"/>
  <c r="F16" i="3"/>
  <c r="D16" i="3"/>
  <c r="D18" i="3" s="1"/>
  <c r="B16" i="3"/>
  <c r="Q15" i="3"/>
  <c r="Q19" i="3" s="1"/>
  <c r="F15" i="3"/>
  <c r="F19" i="3" s="1"/>
  <c r="D15" i="3"/>
  <c r="D19" i="3" s="1"/>
  <c r="AB11" i="3"/>
  <c r="Y11" i="3"/>
  <c r="R20" i="3" s="1"/>
  <c r="X11" i="3"/>
  <c r="N20" i="3" s="1"/>
  <c r="W11" i="3"/>
  <c r="O20" i="3" s="1"/>
  <c r="R11" i="3"/>
  <c r="P11" i="3"/>
  <c r="S20" i="3" s="1"/>
  <c r="N11" i="3"/>
  <c r="M11" i="3"/>
  <c r="G20" i="3" s="1"/>
  <c r="J11" i="3"/>
  <c r="E20" i="3" s="1"/>
  <c r="D11" i="3"/>
  <c r="P20" i="3" s="1"/>
  <c r="C11" i="3"/>
  <c r="K20" i="3" s="1"/>
  <c r="AI8" i="3"/>
  <c r="AH8" i="3"/>
  <c r="AG8" i="3"/>
  <c r="AJ8" i="3" s="1"/>
  <c r="AF8" i="3"/>
  <c r="AD8" i="3"/>
  <c r="L17" i="3" s="1"/>
  <c r="AC8" i="3"/>
  <c r="M17" i="3" s="1"/>
  <c r="Y8" i="3"/>
  <c r="R17" i="3" s="1"/>
  <c r="X8" i="3"/>
  <c r="N17" i="3" s="1"/>
  <c r="W8" i="3"/>
  <c r="O17" i="3" s="1"/>
  <c r="R8" i="3"/>
  <c r="P8" i="3"/>
  <c r="S17" i="3" s="1"/>
  <c r="N8" i="3"/>
  <c r="M8" i="3"/>
  <c r="G17" i="3" s="1"/>
  <c r="J8" i="3"/>
  <c r="E17" i="3" s="1"/>
  <c r="D8" i="3"/>
  <c r="C8" i="3" s="1"/>
  <c r="K17" i="3" s="1"/>
  <c r="AI7" i="3"/>
  <c r="AH7" i="3"/>
  <c r="AG7" i="3"/>
  <c r="AJ7" i="3" s="1"/>
  <c r="AF7" i="3"/>
  <c r="AD7" i="3"/>
  <c r="AC7" i="3"/>
  <c r="Y7" i="3"/>
  <c r="X7" i="3"/>
  <c r="W7" i="3"/>
  <c r="R7" i="3"/>
  <c r="R10" i="3" s="1"/>
  <c r="P7" i="3"/>
  <c r="N7" i="3"/>
  <c r="M7" i="3"/>
  <c r="J7" i="3"/>
  <c r="D7" i="3"/>
  <c r="AE7" i="3" s="1"/>
  <c r="AI6" i="3"/>
  <c r="AH6" i="3"/>
  <c r="AG6" i="3"/>
  <c r="AJ6" i="3" s="1"/>
  <c r="AF6" i="3"/>
  <c r="AD6" i="3"/>
  <c r="L16" i="3" s="1"/>
  <c r="AC6" i="3"/>
  <c r="M16" i="3" s="1"/>
  <c r="Y6" i="3"/>
  <c r="R16" i="3" s="1"/>
  <c r="X6" i="3"/>
  <c r="N16" i="3" s="1"/>
  <c r="W6" i="3"/>
  <c r="O16" i="3" s="1"/>
  <c r="R6" i="3"/>
  <c r="P6" i="3"/>
  <c r="S16" i="3" s="1"/>
  <c r="N6" i="3"/>
  <c r="M6" i="3"/>
  <c r="G16" i="3" s="1"/>
  <c r="J6" i="3"/>
  <c r="E16" i="3" s="1"/>
  <c r="D6" i="3"/>
  <c r="C6" i="3" s="1"/>
  <c r="K16" i="3" s="1"/>
  <c r="AI5" i="3"/>
  <c r="AH5" i="3"/>
  <c r="AG5" i="3"/>
  <c r="AJ5" i="3" s="1"/>
  <c r="AF5" i="3"/>
  <c r="AF10" i="3" s="1"/>
  <c r="AD5" i="3"/>
  <c r="L15" i="3" s="1"/>
  <c r="L19" i="3" s="1"/>
  <c r="AC5" i="3"/>
  <c r="M15" i="3" s="1"/>
  <c r="Y5" i="3"/>
  <c r="R15" i="3" s="1"/>
  <c r="X5" i="3"/>
  <c r="N15" i="3" s="1"/>
  <c r="W5" i="3"/>
  <c r="O15" i="3" s="1"/>
  <c r="R5" i="3"/>
  <c r="P5" i="3"/>
  <c r="N5" i="3"/>
  <c r="M5" i="3"/>
  <c r="G15" i="3" s="1"/>
  <c r="G19" i="3" s="1"/>
  <c r="J5" i="3"/>
  <c r="E15" i="3" s="1"/>
  <c r="D5" i="3"/>
  <c r="C5" i="3" s="1"/>
  <c r="AI4" i="3"/>
  <c r="AH4" i="3"/>
  <c r="AG4" i="3"/>
  <c r="AJ4" i="3" s="1"/>
  <c r="AF4" i="3"/>
  <c r="AD4" i="3"/>
  <c r="AD10" i="3" s="1"/>
  <c r="AC4" i="3"/>
  <c r="AB4" i="3"/>
  <c r="Y4" i="3"/>
  <c r="X4" i="3"/>
  <c r="X9" i="3" s="1"/>
  <c r="W4" i="3"/>
  <c r="W10" i="3" s="1"/>
  <c r="R4" i="3"/>
  <c r="P4" i="3"/>
  <c r="N4" i="3"/>
  <c r="N10" i="3" s="1"/>
  <c r="M4" i="3"/>
  <c r="J4" i="3"/>
  <c r="D4" i="3"/>
  <c r="AE4" i="3" s="1"/>
  <c r="C4" i="3"/>
  <c r="D265" i="2"/>
  <c r="D261" i="2"/>
  <c r="C258" i="2"/>
  <c r="E256" i="2"/>
  <c r="E255" i="2"/>
  <c r="E254" i="2"/>
  <c r="E253" i="2"/>
  <c r="E252" i="2"/>
  <c r="E227" i="2"/>
  <c r="E244" i="2"/>
  <c r="E223" i="2" s="1"/>
  <c r="E224" i="2" s="1"/>
  <c r="J234" i="2"/>
  <c r="I234" i="2"/>
  <c r="J221" i="2"/>
  <c r="J222" i="2"/>
  <c r="E222" i="2"/>
  <c r="J217" i="2"/>
  <c r="J216" i="2"/>
  <c r="E216" i="2"/>
  <c r="E217" i="2" s="1"/>
  <c r="E215" i="2"/>
  <c r="E211" i="2"/>
  <c r="E189" i="2"/>
  <c r="F189" i="2" s="1"/>
  <c r="G189" i="2" s="1"/>
  <c r="H189" i="2" s="1"/>
  <c r="I189" i="2" s="1"/>
  <c r="J189" i="2" s="1"/>
  <c r="K189" i="2" s="1"/>
  <c r="L189" i="2" s="1"/>
  <c r="M189" i="2" s="1"/>
  <c r="N189" i="2" s="1"/>
  <c r="O189" i="2" s="1"/>
  <c r="O187" i="2"/>
  <c r="N187" i="2"/>
  <c r="M187" i="2"/>
  <c r="L187" i="2"/>
  <c r="K187" i="2"/>
  <c r="J187" i="2"/>
  <c r="I187" i="2"/>
  <c r="H187" i="2"/>
  <c r="G187" i="2"/>
  <c r="F187" i="2"/>
  <c r="E187" i="2"/>
  <c r="E174" i="2"/>
  <c r="F174" i="2" s="1"/>
  <c r="G174" i="2" s="1"/>
  <c r="H174" i="2" s="1"/>
  <c r="I174" i="2" s="1"/>
  <c r="J174" i="2" s="1"/>
  <c r="K174" i="2" s="1"/>
  <c r="L174" i="2" s="1"/>
  <c r="M174" i="2" s="1"/>
  <c r="N174" i="2" s="1"/>
  <c r="O174" i="2" s="1"/>
  <c r="E172" i="2"/>
  <c r="E169" i="2"/>
  <c r="F169" i="2" s="1"/>
  <c r="G169" i="2" s="1"/>
  <c r="H169" i="2" s="1"/>
  <c r="I169" i="2" s="1"/>
  <c r="J169" i="2" s="1"/>
  <c r="K169" i="2" s="1"/>
  <c r="L169" i="2" s="1"/>
  <c r="M169" i="2" s="1"/>
  <c r="N169" i="2" s="1"/>
  <c r="O169" i="2" s="1"/>
  <c r="E167" i="2"/>
  <c r="K162" i="2"/>
  <c r="K62" i="2" s="1"/>
  <c r="E156" i="2"/>
  <c r="C146" i="2"/>
  <c r="D142" i="2"/>
  <c r="D141" i="2"/>
  <c r="C141" i="2"/>
  <c r="C144" i="2" s="1"/>
  <c r="D140" i="2" s="1"/>
  <c r="E140" i="2"/>
  <c r="E142" i="2" s="1"/>
  <c r="O139" i="2"/>
  <c r="N139" i="2"/>
  <c r="M139" i="2"/>
  <c r="L139" i="2"/>
  <c r="K139" i="2"/>
  <c r="J139" i="2"/>
  <c r="I139" i="2"/>
  <c r="H139" i="2"/>
  <c r="G139" i="2"/>
  <c r="F139" i="2"/>
  <c r="E139" i="2"/>
  <c r="D139" i="2"/>
  <c r="D136" i="2"/>
  <c r="D133" i="2"/>
  <c r="M129" i="2"/>
  <c r="N129" i="2" s="1"/>
  <c r="O129" i="2" s="1"/>
  <c r="L129" i="2"/>
  <c r="D127" i="2"/>
  <c r="J124" i="2"/>
  <c r="D124" i="2"/>
  <c r="J123" i="2"/>
  <c r="K121" i="2" s="1"/>
  <c r="I123" i="2"/>
  <c r="I124" i="2" s="1"/>
  <c r="H123" i="2"/>
  <c r="H124" i="2" s="1"/>
  <c r="G123" i="2"/>
  <c r="G124" i="2" s="1"/>
  <c r="E123" i="2"/>
  <c r="O118" i="2"/>
  <c r="N118" i="2"/>
  <c r="M118" i="2"/>
  <c r="L118" i="2"/>
  <c r="K118" i="2"/>
  <c r="J118" i="2"/>
  <c r="I118" i="2"/>
  <c r="H118" i="2"/>
  <c r="G118" i="2"/>
  <c r="F118" i="2"/>
  <c r="E118" i="2"/>
  <c r="O113" i="2"/>
  <c r="O56" i="2" s="1"/>
  <c r="N113" i="2"/>
  <c r="N56" i="2" s="1"/>
  <c r="M113" i="2"/>
  <c r="M56" i="2" s="1"/>
  <c r="L113" i="2"/>
  <c r="K113" i="2"/>
  <c r="J113" i="2"/>
  <c r="J56" i="2" s="1"/>
  <c r="I113" i="2"/>
  <c r="I56" i="2" s="1"/>
  <c r="H113" i="2"/>
  <c r="H56" i="2" s="1"/>
  <c r="G113" i="2"/>
  <c r="G56" i="2" s="1"/>
  <c r="F113" i="2"/>
  <c r="F56" i="2" s="1"/>
  <c r="E113" i="2"/>
  <c r="E56" i="2" s="1"/>
  <c r="E103" i="2"/>
  <c r="E101" i="2"/>
  <c r="E107" i="2" s="1"/>
  <c r="E97" i="2"/>
  <c r="F97" i="2" s="1"/>
  <c r="G97" i="2" s="1"/>
  <c r="H97" i="2" s="1"/>
  <c r="I97" i="2" s="1"/>
  <c r="J97" i="2" s="1"/>
  <c r="K97" i="2" s="1"/>
  <c r="L97" i="2" s="1"/>
  <c r="M97" i="2" s="1"/>
  <c r="N97" i="2" s="1"/>
  <c r="E95" i="2"/>
  <c r="E87" i="2"/>
  <c r="D77" i="2"/>
  <c r="D76" i="2"/>
  <c r="D70" i="2"/>
  <c r="E67" i="2"/>
  <c r="O63" i="2"/>
  <c r="N63" i="2"/>
  <c r="M63" i="2"/>
  <c r="L63" i="2"/>
  <c r="K63" i="2"/>
  <c r="J63" i="2"/>
  <c r="I63" i="2"/>
  <c r="H63" i="2"/>
  <c r="G63" i="2"/>
  <c r="F63" i="2"/>
  <c r="E63" i="2"/>
  <c r="L56" i="2"/>
  <c r="K56" i="2"/>
  <c r="D43" i="2"/>
  <c r="C43" i="2"/>
  <c r="D156" i="2" s="1"/>
  <c r="D37" i="2"/>
  <c r="C37" i="2"/>
  <c r="D101" i="2" s="1"/>
  <c r="D107" i="2" s="1"/>
  <c r="D36" i="2"/>
  <c r="D84" i="2" s="1"/>
  <c r="C36" i="2"/>
  <c r="D31" i="2"/>
  <c r="C31" i="2"/>
  <c r="D112" i="2" s="1"/>
  <c r="D113" i="2" s="1"/>
  <c r="D30" i="2"/>
  <c r="C30" i="2"/>
  <c r="D95" i="2" s="1"/>
  <c r="D29" i="2"/>
  <c r="C29" i="2"/>
  <c r="D87" i="2" s="1"/>
  <c r="D25" i="2"/>
  <c r="D83" i="2" s="1"/>
  <c r="C25" i="2"/>
  <c r="D24" i="2"/>
  <c r="D82" i="2" s="1"/>
  <c r="C24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C11" i="2"/>
  <c r="O6" i="2"/>
  <c r="O88" i="2" s="1"/>
  <c r="O55" i="2" s="1"/>
  <c r="N6" i="2"/>
  <c r="N88" i="2" s="1"/>
  <c r="N55" i="2" s="1"/>
  <c r="M6" i="2"/>
  <c r="M88" i="2" s="1"/>
  <c r="M55" i="2" s="1"/>
  <c r="L6" i="2"/>
  <c r="L88" i="2" s="1"/>
  <c r="L55" i="2" s="1"/>
  <c r="K6" i="2"/>
  <c r="K88" i="2" s="1"/>
  <c r="K55" i="2" s="1"/>
  <c r="J6" i="2"/>
  <c r="J88" i="2" s="1"/>
  <c r="J55" i="2" s="1"/>
  <c r="I6" i="2"/>
  <c r="I88" i="2" s="1"/>
  <c r="I55" i="2" s="1"/>
  <c r="H6" i="2"/>
  <c r="H88" i="2" s="1"/>
  <c r="H55" i="2" s="1"/>
  <c r="G6" i="2"/>
  <c r="G88" i="2" s="1"/>
  <c r="G55" i="2" s="1"/>
  <c r="F6" i="2"/>
  <c r="F88" i="2" s="1"/>
  <c r="F55" i="2" s="1"/>
  <c r="E6" i="2"/>
  <c r="E88" i="2" s="1"/>
  <c r="E55" i="2" s="1"/>
  <c r="H31" i="11" l="1"/>
  <c r="N9" i="3"/>
  <c r="AE5" i="3"/>
  <c r="L18" i="3"/>
  <c r="AE6" i="3"/>
  <c r="AE10" i="3" s="1"/>
  <c r="AE8" i="3"/>
  <c r="P17" i="3"/>
  <c r="R9" i="3"/>
  <c r="D9" i="3"/>
  <c r="Y9" i="3"/>
  <c r="Q18" i="3"/>
  <c r="M9" i="3"/>
  <c r="AC9" i="3"/>
  <c r="AD9" i="3"/>
  <c r="P15" i="3"/>
  <c r="P19" i="3" s="1"/>
  <c r="C44" i="2"/>
  <c r="C45" i="2" s="1"/>
  <c r="I235" i="2"/>
  <c r="D12" i="2"/>
  <c r="D16" i="2" s="1"/>
  <c r="D18" i="2" s="1"/>
  <c r="D48" i="2" s="1"/>
  <c r="D143" i="2"/>
  <c r="E141" i="2"/>
  <c r="E144" i="2" s="1"/>
  <c r="F140" i="2" s="1"/>
  <c r="F144" i="2" s="1"/>
  <c r="K124" i="2"/>
  <c r="K123" i="2"/>
  <c r="L121" i="2" s="1"/>
  <c r="E115" i="2"/>
  <c r="C147" i="2"/>
  <c r="C41" i="2" s="1"/>
  <c r="E257" i="2"/>
  <c r="D258" i="2" s="1"/>
  <c r="E245" i="2" s="1"/>
  <c r="E225" i="2" s="1"/>
  <c r="F141" i="2"/>
  <c r="J218" i="2"/>
  <c r="O19" i="3"/>
  <c r="O18" i="3"/>
  <c r="N19" i="3"/>
  <c r="N18" i="3"/>
  <c r="R19" i="3"/>
  <c r="R18" i="3"/>
  <c r="M18" i="3"/>
  <c r="M19" i="3"/>
  <c r="AE9" i="3"/>
  <c r="I15" i="3"/>
  <c r="H15" i="3"/>
  <c r="K15" i="3"/>
  <c r="C15" i="3"/>
  <c r="J15" i="3"/>
  <c r="E18" i="3"/>
  <c r="E19" i="3"/>
  <c r="S19" i="3"/>
  <c r="S18" i="3"/>
  <c r="C7" i="3"/>
  <c r="C9" i="3" s="1"/>
  <c r="AF9" i="3"/>
  <c r="X10" i="3"/>
  <c r="H16" i="3"/>
  <c r="F18" i="3"/>
  <c r="Y10" i="3"/>
  <c r="I16" i="3"/>
  <c r="H17" i="3"/>
  <c r="G18" i="3"/>
  <c r="W9" i="3"/>
  <c r="AC10" i="3"/>
  <c r="J16" i="3"/>
  <c r="I17" i="3"/>
  <c r="J10" i="3"/>
  <c r="J17" i="3"/>
  <c r="M10" i="3"/>
  <c r="C17" i="3"/>
  <c r="H20" i="3"/>
  <c r="D10" i="3"/>
  <c r="I20" i="3"/>
  <c r="J20" i="3"/>
  <c r="J9" i="3"/>
  <c r="C20" i="3"/>
  <c r="N198" i="2"/>
  <c r="O97" i="2"/>
  <c r="O198" i="2" s="1"/>
  <c r="E171" i="2"/>
  <c r="F167" i="2"/>
  <c r="I198" i="2"/>
  <c r="J198" i="2"/>
  <c r="K198" i="2"/>
  <c r="D130" i="2"/>
  <c r="D131" i="2"/>
  <c r="D146" i="2" s="1"/>
  <c r="E89" i="2"/>
  <c r="E90" i="2" s="1"/>
  <c r="L198" i="2"/>
  <c r="F121" i="2"/>
  <c r="J220" i="2"/>
  <c r="J207" i="2" s="1"/>
  <c r="M198" i="2"/>
  <c r="E124" i="2"/>
  <c r="E176" i="2"/>
  <c r="F172" i="2"/>
  <c r="D266" i="2"/>
  <c r="D263" i="2"/>
  <c r="D44" i="2"/>
  <c r="D45" i="2" s="1"/>
  <c r="F103" i="2"/>
  <c r="G103" i="2" s="1"/>
  <c r="H103" i="2" s="1"/>
  <c r="I103" i="2" s="1"/>
  <c r="J103" i="2" s="1"/>
  <c r="K103" i="2" s="1"/>
  <c r="L103" i="2" s="1"/>
  <c r="M103" i="2" s="1"/>
  <c r="N103" i="2" s="1"/>
  <c r="O103" i="2" s="1"/>
  <c r="E106" i="2"/>
  <c r="E52" i="2" s="1"/>
  <c r="E198" i="2"/>
  <c r="G198" i="2"/>
  <c r="H198" i="2"/>
  <c r="D137" i="2"/>
  <c r="E133" i="2" s="1"/>
  <c r="D138" i="2"/>
  <c r="E226" i="2"/>
  <c r="E228" i="2" s="1"/>
  <c r="E208" i="2" s="1"/>
  <c r="F198" i="2"/>
  <c r="P18" i="3" l="1"/>
  <c r="F142" i="2"/>
  <c r="G141" i="2"/>
  <c r="D264" i="2"/>
  <c r="D267" i="2"/>
  <c r="D269" i="2"/>
  <c r="D262" i="2"/>
  <c r="L124" i="2"/>
  <c r="L123" i="2"/>
  <c r="M121" i="2" s="1"/>
  <c r="M124" i="2" s="1"/>
  <c r="E221" i="2"/>
  <c r="C208" i="2"/>
  <c r="E11" i="2"/>
  <c r="F112" i="2"/>
  <c r="E31" i="2"/>
  <c r="J19" i="3"/>
  <c r="J18" i="3"/>
  <c r="H19" i="3"/>
  <c r="H18" i="3"/>
  <c r="I19" i="3"/>
  <c r="I18" i="3"/>
  <c r="C19" i="3"/>
  <c r="C18" i="3"/>
  <c r="K19" i="3"/>
  <c r="K18" i="3"/>
  <c r="C10" i="3"/>
  <c r="E49" i="2"/>
  <c r="E177" i="2"/>
  <c r="E3" i="2" s="1"/>
  <c r="G140" i="2"/>
  <c r="F106" i="2"/>
  <c r="E99" i="2"/>
  <c r="E8" i="2" s="1"/>
  <c r="E96" i="2"/>
  <c r="E98" i="2" s="1"/>
  <c r="E102" i="2"/>
  <c r="E104" i="2" s="1"/>
  <c r="F87" i="2"/>
  <c r="E29" i="2"/>
  <c r="F171" i="2"/>
  <c r="G167" i="2"/>
  <c r="F123" i="2"/>
  <c r="E138" i="2"/>
  <c r="J235" i="2"/>
  <c r="E248" i="2"/>
  <c r="D147" i="2"/>
  <c r="E127" i="2"/>
  <c r="G172" i="2"/>
  <c r="F176" i="2"/>
  <c r="E38" i="2" l="1"/>
  <c r="E190" i="2"/>
  <c r="M123" i="2"/>
  <c r="F115" i="2"/>
  <c r="E197" i="2"/>
  <c r="E4" i="2"/>
  <c r="E131" i="2"/>
  <c r="E146" i="2" s="1"/>
  <c r="E13" i="2" s="1"/>
  <c r="E130" i="2"/>
  <c r="E73" i="2"/>
  <c r="E77" i="2"/>
  <c r="E76" i="2"/>
  <c r="E26" i="2" s="1"/>
  <c r="E9" i="2"/>
  <c r="E50" i="2" s="1"/>
  <c r="E7" i="2"/>
  <c r="J237" i="2"/>
  <c r="J238" i="2" s="1"/>
  <c r="H167" i="2"/>
  <c r="G171" i="2"/>
  <c r="F177" i="2"/>
  <c r="F3" i="2" s="1"/>
  <c r="F190" i="2" s="1"/>
  <c r="H172" i="2"/>
  <c r="G176" i="2"/>
  <c r="G142" i="2"/>
  <c r="H141" i="2"/>
  <c r="G144" i="2"/>
  <c r="E212" i="2"/>
  <c r="D270" i="2"/>
  <c r="I236" i="2"/>
  <c r="I237" i="2" s="1"/>
  <c r="J236" i="2"/>
  <c r="D41" i="2"/>
  <c r="F89" i="2"/>
  <c r="F90" i="2" s="1"/>
  <c r="F95" i="2"/>
  <c r="E30" i="2"/>
  <c r="E183" i="2"/>
  <c r="F124" i="2"/>
  <c r="F101" i="2"/>
  <c r="E37" i="2"/>
  <c r="N121" i="2"/>
  <c r="F99" i="2"/>
  <c r="F8" i="2" s="1"/>
  <c r="F52" i="2"/>
  <c r="G106" i="2"/>
  <c r="F31" i="2" l="1"/>
  <c r="G112" i="2"/>
  <c r="E5" i="2"/>
  <c r="E12" i="2" s="1"/>
  <c r="E10" i="2" s="1"/>
  <c r="E75" i="2"/>
  <c r="E36" i="2" s="1"/>
  <c r="E39" i="2" s="1"/>
  <c r="F4" i="2"/>
  <c r="F5" i="2" s="1"/>
  <c r="E74" i="2"/>
  <c r="E25" i="2" s="1"/>
  <c r="G87" i="2"/>
  <c r="F29" i="2"/>
  <c r="H140" i="2"/>
  <c r="I172" i="2"/>
  <c r="H176" i="2"/>
  <c r="F183" i="2"/>
  <c r="F127" i="2"/>
  <c r="N124" i="2"/>
  <c r="N123" i="2"/>
  <c r="F73" i="2"/>
  <c r="F76" i="2"/>
  <c r="F26" i="2" s="1"/>
  <c r="F7" i="2"/>
  <c r="F77" i="2"/>
  <c r="F38" i="2"/>
  <c r="F9" i="2"/>
  <c r="F107" i="2"/>
  <c r="I167" i="2"/>
  <c r="H171" i="2"/>
  <c r="F11" i="2"/>
  <c r="F49" i="2"/>
  <c r="E24" i="2"/>
  <c r="E157" i="2"/>
  <c r="E160" i="2" s="1"/>
  <c r="H106" i="2"/>
  <c r="G99" i="2"/>
  <c r="G8" i="2" s="1"/>
  <c r="G52" i="2"/>
  <c r="E218" i="2"/>
  <c r="E213" i="2"/>
  <c r="E214" i="2" s="1"/>
  <c r="E219" i="2" s="1"/>
  <c r="E207" i="2" s="1"/>
  <c r="G177" i="2"/>
  <c r="G3" i="2" s="1"/>
  <c r="G190" i="2" s="1"/>
  <c r="G115" i="2" l="1"/>
  <c r="G116" i="2"/>
  <c r="F12" i="2"/>
  <c r="F10" i="2" s="1"/>
  <c r="G4" i="2"/>
  <c r="G5" i="2" s="1"/>
  <c r="E79" i="2"/>
  <c r="E80" i="2" s="1"/>
  <c r="F75" i="2"/>
  <c r="F36" i="2" s="1"/>
  <c r="F39" i="2" s="1"/>
  <c r="F74" i="2"/>
  <c r="F25" i="2" s="1"/>
  <c r="C207" i="2"/>
  <c r="D234" i="2"/>
  <c r="G89" i="2"/>
  <c r="G90" i="2"/>
  <c r="G183" i="2"/>
  <c r="E269" i="2"/>
  <c r="E194" i="2"/>
  <c r="H99" i="2"/>
  <c r="H8" i="2" s="1"/>
  <c r="H52" i="2"/>
  <c r="I106" i="2"/>
  <c r="F50" i="2"/>
  <c r="F157" i="2"/>
  <c r="F160" i="2" s="1"/>
  <c r="O121" i="2"/>
  <c r="F96" i="2"/>
  <c r="F98" i="2" s="1"/>
  <c r="F102" i="2"/>
  <c r="F104" i="2" s="1"/>
  <c r="F131" i="2"/>
  <c r="F146" i="2" s="1"/>
  <c r="F13" i="2" s="1"/>
  <c r="F130" i="2"/>
  <c r="I141" i="2"/>
  <c r="H144" i="2"/>
  <c r="H142" i="2"/>
  <c r="G31" i="2"/>
  <c r="H112" i="2"/>
  <c r="F24" i="2"/>
  <c r="H177" i="2"/>
  <c r="H3" i="2" s="1"/>
  <c r="H190" i="2" s="1"/>
  <c r="G77" i="2"/>
  <c r="G76" i="2"/>
  <c r="G26" i="2" s="1"/>
  <c r="G7" i="2"/>
  <c r="G73" i="2"/>
  <c r="G9" i="2"/>
  <c r="G38" i="2"/>
  <c r="E161" i="2"/>
  <c r="I171" i="2"/>
  <c r="J167" i="2"/>
  <c r="I176" i="2"/>
  <c r="J172" i="2"/>
  <c r="E199" i="2" l="1"/>
  <c r="E51" i="2"/>
  <c r="F197" i="2"/>
  <c r="G12" i="2"/>
  <c r="H4" i="2"/>
  <c r="H5" i="2" s="1"/>
  <c r="E195" i="2"/>
  <c r="E196" i="2" s="1"/>
  <c r="G157" i="2"/>
  <c r="G160" i="2" s="1"/>
  <c r="G50" i="2"/>
  <c r="J171" i="2"/>
  <c r="K167" i="2"/>
  <c r="G101" i="2"/>
  <c r="F79" i="2"/>
  <c r="F80" i="2" s="1"/>
  <c r="F37" i="2"/>
  <c r="G95" i="2"/>
  <c r="F30" i="2"/>
  <c r="H87" i="2"/>
  <c r="G29" i="2"/>
  <c r="J176" i="2"/>
  <c r="K172" i="2"/>
  <c r="H77" i="2"/>
  <c r="H9" i="2"/>
  <c r="H73" i="2"/>
  <c r="H76" i="2"/>
  <c r="H26" i="2" s="1"/>
  <c r="H38" i="2"/>
  <c r="H7" i="2"/>
  <c r="E149" i="2"/>
  <c r="E151" i="2"/>
  <c r="E150" i="2"/>
  <c r="E261" i="2"/>
  <c r="I177" i="2"/>
  <c r="I3" i="2" s="1"/>
  <c r="I190" i="2" s="1"/>
  <c r="I99" i="2"/>
  <c r="I8" i="2" s="1"/>
  <c r="J106" i="2"/>
  <c r="I52" i="2"/>
  <c r="E162" i="2"/>
  <c r="E62" i="2" s="1"/>
  <c r="F161" i="2"/>
  <c r="H115" i="2"/>
  <c r="H116" i="2" s="1"/>
  <c r="O123" i="2"/>
  <c r="O124" i="2"/>
  <c r="H183" i="2"/>
  <c r="G49" i="2"/>
  <c r="G11" i="2"/>
  <c r="G127" i="2"/>
  <c r="G24" i="2"/>
  <c r="C209" i="2"/>
  <c r="D208" i="2" s="1"/>
  <c r="G75" i="2"/>
  <c r="G36" i="2" s="1"/>
  <c r="G39" i="2" s="1"/>
  <c r="G74" i="2"/>
  <c r="G25" i="2" s="1"/>
  <c r="I140" i="2"/>
  <c r="F269" i="2"/>
  <c r="F194" i="2"/>
  <c r="D207" i="2" l="1"/>
  <c r="H12" i="2"/>
  <c r="I4" i="2"/>
  <c r="I5" i="2" s="1"/>
  <c r="G194" i="2"/>
  <c r="G10" i="2"/>
  <c r="F151" i="2"/>
  <c r="F150" i="2"/>
  <c r="F149" i="2"/>
  <c r="F261" i="2"/>
  <c r="H89" i="2"/>
  <c r="H49" i="2" s="1"/>
  <c r="H90" i="2"/>
  <c r="I183" i="2"/>
  <c r="E200" i="2"/>
  <c r="E262" i="2"/>
  <c r="D209" i="2"/>
  <c r="L167" i="2"/>
  <c r="K171" i="2"/>
  <c r="H24" i="2"/>
  <c r="I142" i="2"/>
  <c r="I144" i="2"/>
  <c r="J141" i="2"/>
  <c r="K106" i="2"/>
  <c r="J99" i="2"/>
  <c r="J8" i="2" s="1"/>
  <c r="J52" i="2"/>
  <c r="H75" i="2"/>
  <c r="H36" i="2" s="1"/>
  <c r="H39" i="2" s="1"/>
  <c r="H74" i="2"/>
  <c r="H25" i="2" s="1"/>
  <c r="H11" i="2"/>
  <c r="F162" i="2"/>
  <c r="F62" i="2" s="1"/>
  <c r="G161" i="2"/>
  <c r="G107" i="2"/>
  <c r="F195" i="2"/>
  <c r="F196" i="2" s="1"/>
  <c r="J177" i="2"/>
  <c r="J3" i="2" s="1"/>
  <c r="J190" i="2" s="1"/>
  <c r="H157" i="2"/>
  <c r="H160" i="2" s="1"/>
  <c r="H50" i="2"/>
  <c r="G130" i="2"/>
  <c r="G131" i="2"/>
  <c r="G146" i="2" s="1"/>
  <c r="G13" i="2" s="1"/>
  <c r="G269" i="2" s="1"/>
  <c r="I73" i="2"/>
  <c r="I9" i="2"/>
  <c r="I38" i="2"/>
  <c r="I7" i="2"/>
  <c r="I76" i="2"/>
  <c r="I26" i="2" s="1"/>
  <c r="I77" i="2"/>
  <c r="L172" i="2"/>
  <c r="K176" i="2"/>
  <c r="F199" i="2"/>
  <c r="F51" i="2"/>
  <c r="I12" i="2" l="1"/>
  <c r="J4" i="2"/>
  <c r="J5" i="2" s="1"/>
  <c r="H194" i="2"/>
  <c r="H10" i="2"/>
  <c r="M172" i="2"/>
  <c r="L176" i="2"/>
  <c r="I157" i="2"/>
  <c r="I160" i="2" s="1"/>
  <c r="I50" i="2"/>
  <c r="K177" i="2"/>
  <c r="K3" i="2" s="1"/>
  <c r="K190" i="2" s="1"/>
  <c r="G96" i="2"/>
  <c r="G102" i="2"/>
  <c r="G104" i="2" s="1"/>
  <c r="H127" i="2"/>
  <c r="G162" i="2"/>
  <c r="G62" i="2" s="1"/>
  <c r="H161" i="2"/>
  <c r="G151" i="2"/>
  <c r="G261" i="2"/>
  <c r="G149" i="2"/>
  <c r="G150" i="2"/>
  <c r="I24" i="2"/>
  <c r="J183" i="2"/>
  <c r="M167" i="2"/>
  <c r="L171" i="2"/>
  <c r="I87" i="2"/>
  <c r="H29" i="2"/>
  <c r="F200" i="2"/>
  <c r="F262" i="2"/>
  <c r="J73" i="2"/>
  <c r="J38" i="2"/>
  <c r="J9" i="2"/>
  <c r="J7" i="2"/>
  <c r="J76" i="2"/>
  <c r="J26" i="2" s="1"/>
  <c r="J77" i="2"/>
  <c r="L106" i="2"/>
  <c r="K52" i="2"/>
  <c r="K99" i="2"/>
  <c r="K8" i="2" s="1"/>
  <c r="G195" i="2"/>
  <c r="G196" i="2" s="1"/>
  <c r="I74" i="2"/>
  <c r="I25" i="2" s="1"/>
  <c r="I75" i="2"/>
  <c r="I36" i="2" s="1"/>
  <c r="I39" i="2" s="1"/>
  <c r="J140" i="2"/>
  <c r="I112" i="2"/>
  <c r="H31" i="2"/>
  <c r="L177" i="2" l="1"/>
  <c r="L3" i="2" s="1"/>
  <c r="J12" i="2"/>
  <c r="K4" i="2"/>
  <c r="K5" i="2" s="1"/>
  <c r="J74" i="2"/>
  <c r="J25" i="2" s="1"/>
  <c r="J75" i="2"/>
  <c r="J36" i="2" s="1"/>
  <c r="J39" i="2" s="1"/>
  <c r="H101" i="2"/>
  <c r="G79" i="2"/>
  <c r="G80" i="2" s="1"/>
  <c r="G37" i="2"/>
  <c r="I89" i="2"/>
  <c r="I90" i="2"/>
  <c r="L73" i="2"/>
  <c r="K76" i="2"/>
  <c r="K26" i="2" s="1"/>
  <c r="K38" i="2"/>
  <c r="K73" i="2"/>
  <c r="K77" i="2"/>
  <c r="K9" i="2"/>
  <c r="K7" i="2"/>
  <c r="I161" i="2"/>
  <c r="H162" i="2"/>
  <c r="H62" i="2" s="1"/>
  <c r="H130" i="2"/>
  <c r="H131" i="2"/>
  <c r="H146" i="2" s="1"/>
  <c r="H13" i="2" s="1"/>
  <c r="J144" i="2"/>
  <c r="K141" i="2"/>
  <c r="J142" i="2"/>
  <c r="M106" i="2"/>
  <c r="L52" i="2"/>
  <c r="L99" i="2"/>
  <c r="L8" i="2" s="1"/>
  <c r="G197" i="2"/>
  <c r="G98" i="2"/>
  <c r="H261" i="2"/>
  <c r="H151" i="2"/>
  <c r="N167" i="2"/>
  <c r="O167" i="2" s="1"/>
  <c r="M171" i="2"/>
  <c r="I115" i="2"/>
  <c r="I116" i="2" s="1"/>
  <c r="H195" i="2"/>
  <c r="H196" i="2" s="1"/>
  <c r="N172" i="2"/>
  <c r="M176" i="2"/>
  <c r="J157" i="2"/>
  <c r="J160" i="2" s="1"/>
  <c r="J50" i="2"/>
  <c r="J24" i="2"/>
  <c r="K183" i="2"/>
  <c r="L4" i="2" l="1"/>
  <c r="L5" i="2" s="1"/>
  <c r="L190" i="2"/>
  <c r="L76" i="2"/>
  <c r="L26" i="2" s="1"/>
  <c r="L77" i="2"/>
  <c r="L38" i="2"/>
  <c r="L7" i="2"/>
  <c r="L12" i="2" s="1"/>
  <c r="L9" i="2"/>
  <c r="L50" i="2" s="1"/>
  <c r="M177" i="2"/>
  <c r="M3" i="2" s="1"/>
  <c r="K12" i="2"/>
  <c r="O172" i="2"/>
  <c r="O176" i="2" s="1"/>
  <c r="N176" i="2"/>
  <c r="L74" i="2"/>
  <c r="L25" i="2" s="1"/>
  <c r="L75" i="2"/>
  <c r="L36" i="2" s="1"/>
  <c r="L39" i="2" s="1"/>
  <c r="J161" i="2"/>
  <c r="J162" i="2" s="1"/>
  <c r="J62" i="2" s="1"/>
  <c r="I162" i="2"/>
  <c r="I62" i="2" s="1"/>
  <c r="G30" i="2"/>
  <c r="H95" i="2"/>
  <c r="I49" i="2"/>
  <c r="I11" i="2"/>
  <c r="K74" i="2"/>
  <c r="K25" i="2" s="1"/>
  <c r="K75" i="2"/>
  <c r="K36" i="2" s="1"/>
  <c r="K39" i="2" s="1"/>
  <c r="L183" i="2"/>
  <c r="J87" i="2"/>
  <c r="I29" i="2"/>
  <c r="G199" i="2"/>
  <c r="G200" i="2" s="1"/>
  <c r="G51" i="2"/>
  <c r="J112" i="2"/>
  <c r="I31" i="2"/>
  <c r="G262" i="2"/>
  <c r="K140" i="2"/>
  <c r="O171" i="2"/>
  <c r="N171" i="2"/>
  <c r="I127" i="2"/>
  <c r="N106" i="2"/>
  <c r="M99" i="2"/>
  <c r="M8" i="2" s="1"/>
  <c r="M52" i="2"/>
  <c r="H107" i="2"/>
  <c r="K157" i="2"/>
  <c r="K160" i="2" s="1"/>
  <c r="K50" i="2"/>
  <c r="L24" i="2"/>
  <c r="H269" i="2"/>
  <c r="H149" i="2"/>
  <c r="K24" i="2"/>
  <c r="M76" i="2" l="1"/>
  <c r="M26" i="2" s="1"/>
  <c r="M190" i="2"/>
  <c r="M77" i="2"/>
  <c r="M73" i="2"/>
  <c r="M38" i="2"/>
  <c r="M4" i="2"/>
  <c r="M5" i="2" s="1"/>
  <c r="L157" i="2"/>
  <c r="L160" i="2" s="1"/>
  <c r="L161" i="2" s="1"/>
  <c r="L162" i="2" s="1"/>
  <c r="L62" i="2" s="1"/>
  <c r="M7" i="2"/>
  <c r="M9" i="2"/>
  <c r="M50" i="2" s="1"/>
  <c r="O177" i="2"/>
  <c r="O3" i="2" s="1"/>
  <c r="L141" i="2"/>
  <c r="K142" i="2"/>
  <c r="K144" i="2"/>
  <c r="I194" i="2"/>
  <c r="I10" i="2"/>
  <c r="O106" i="2"/>
  <c r="N52" i="2"/>
  <c r="N99" i="2"/>
  <c r="N8" i="2" s="1"/>
  <c r="H102" i="2"/>
  <c r="H104" i="2" s="1"/>
  <c r="H96" i="2"/>
  <c r="H197" i="2" s="1"/>
  <c r="H150" i="2"/>
  <c r="H98" i="2"/>
  <c r="I130" i="2"/>
  <c r="I131" i="2"/>
  <c r="I146" i="2" s="1"/>
  <c r="I13" i="2" s="1"/>
  <c r="I269" i="2" s="1"/>
  <c r="J89" i="2"/>
  <c r="J90" i="2"/>
  <c r="J115" i="2"/>
  <c r="J116" i="2" s="1"/>
  <c r="M24" i="2"/>
  <c r="M183" i="2"/>
  <c r="N177" i="2"/>
  <c r="N3" i="2" s="1"/>
  <c r="N190" i="2" s="1"/>
  <c r="O7" i="2" l="1"/>
  <c r="O190" i="2"/>
  <c r="M12" i="2"/>
  <c r="M157" i="2"/>
  <c r="M160" i="2" s="1"/>
  <c r="M161" i="2" s="1"/>
  <c r="M74" i="2"/>
  <c r="M25" i="2" s="1"/>
  <c r="M75" i="2"/>
  <c r="M36" i="2" s="1"/>
  <c r="M39" i="2" s="1"/>
  <c r="O77" i="2"/>
  <c r="O9" i="2"/>
  <c r="O157" i="2" s="1"/>
  <c r="O160" i="2" s="1"/>
  <c r="O38" i="2"/>
  <c r="O73" i="2"/>
  <c r="O24" i="2" s="1"/>
  <c r="O4" i="2"/>
  <c r="O5" i="2" s="1"/>
  <c r="O12" i="2" s="1"/>
  <c r="O76" i="2"/>
  <c r="O26" i="2" s="1"/>
  <c r="N4" i="2"/>
  <c r="N5" i="2" s="1"/>
  <c r="M162" i="2"/>
  <c r="M62" i="2" s="1"/>
  <c r="N73" i="2"/>
  <c r="N77" i="2"/>
  <c r="N7" i="2"/>
  <c r="N76" i="2"/>
  <c r="N26" i="2" s="1"/>
  <c r="N38" i="2"/>
  <c r="N9" i="2"/>
  <c r="I195" i="2"/>
  <c r="I196" i="2" s="1"/>
  <c r="L140" i="2"/>
  <c r="I95" i="2"/>
  <c r="H30" i="2"/>
  <c r="J127" i="2"/>
  <c r="O99" i="2"/>
  <c r="O8" i="2" s="1"/>
  <c r="O52" i="2"/>
  <c r="K112" i="2"/>
  <c r="J31" i="2"/>
  <c r="I101" i="2"/>
  <c r="H79" i="2"/>
  <c r="H37" i="2"/>
  <c r="I261" i="2"/>
  <c r="I151" i="2"/>
  <c r="I149" i="2"/>
  <c r="N183" i="2"/>
  <c r="K87" i="2"/>
  <c r="J29" i="2"/>
  <c r="J11" i="2"/>
  <c r="J49" i="2"/>
  <c r="O50" i="2" l="1"/>
  <c r="O75" i="2"/>
  <c r="O36" i="2" s="1"/>
  <c r="O39" i="2" s="1"/>
  <c r="O74" i="2"/>
  <c r="O25" i="2" s="1"/>
  <c r="N12" i="2"/>
  <c r="N74" i="2"/>
  <c r="N25" i="2" s="1"/>
  <c r="N75" i="2"/>
  <c r="N36" i="2" s="1"/>
  <c r="N39" i="2" s="1"/>
  <c r="J194" i="2"/>
  <c r="J10" i="2"/>
  <c r="K89" i="2"/>
  <c r="K90" i="2"/>
  <c r="O183" i="2"/>
  <c r="N24" i="2"/>
  <c r="J130" i="2"/>
  <c r="J131" i="2"/>
  <c r="J146" i="2" s="1"/>
  <c r="J13" i="2" s="1"/>
  <c r="J269" i="2" s="1"/>
  <c r="N50" i="2"/>
  <c r="N157" i="2"/>
  <c r="N160" i="2" s="1"/>
  <c r="N161" i="2" s="1"/>
  <c r="I107" i="2"/>
  <c r="L144" i="2"/>
  <c r="L142" i="2"/>
  <c r="M141" i="2"/>
  <c r="K115" i="2"/>
  <c r="K116" i="2" s="1"/>
  <c r="H80" i="2"/>
  <c r="H262" i="2"/>
  <c r="K31" i="2" l="1"/>
  <c r="L112" i="2"/>
  <c r="J195" i="2"/>
  <c r="J196" i="2" s="1"/>
  <c r="H199" i="2"/>
  <c r="H200" i="2" s="1"/>
  <c r="H51" i="2"/>
  <c r="N162" i="2"/>
  <c r="N62" i="2" s="1"/>
  <c r="O161" i="2"/>
  <c r="O162" i="2" s="1"/>
  <c r="O62" i="2" s="1"/>
  <c r="I96" i="2"/>
  <c r="I102" i="2"/>
  <c r="I104" i="2" s="1"/>
  <c r="I150" i="2"/>
  <c r="K127" i="2"/>
  <c r="J261" i="2"/>
  <c r="J151" i="2"/>
  <c r="J149" i="2"/>
  <c r="K11" i="2"/>
  <c r="K49" i="2"/>
  <c r="K29" i="2"/>
  <c r="L87" i="2"/>
  <c r="M140" i="2"/>
  <c r="K131" i="2" l="1"/>
  <c r="K146" i="2" s="1"/>
  <c r="K13" i="2" s="1"/>
  <c r="K269" i="2" s="1"/>
  <c r="K130" i="2"/>
  <c r="J101" i="2"/>
  <c r="I79" i="2"/>
  <c r="I37" i="2"/>
  <c r="K194" i="2"/>
  <c r="K10" i="2"/>
  <c r="N141" i="2"/>
  <c r="M142" i="2"/>
  <c r="M144" i="2"/>
  <c r="I197" i="2"/>
  <c r="I98" i="2"/>
  <c r="L115" i="2"/>
  <c r="L116" i="2" s="1"/>
  <c r="L89" i="2"/>
  <c r="L90" i="2"/>
  <c r="M112" i="2" l="1"/>
  <c r="L31" i="2"/>
  <c r="N140" i="2"/>
  <c r="J107" i="2"/>
  <c r="L29" i="2"/>
  <c r="M87" i="2"/>
  <c r="K195" i="2"/>
  <c r="K196" i="2" s="1"/>
  <c r="I80" i="2"/>
  <c r="I262" i="2"/>
  <c r="K151" i="2"/>
  <c r="K261" i="2"/>
  <c r="K149" i="2"/>
  <c r="L11" i="2"/>
  <c r="L49" i="2"/>
  <c r="J95" i="2"/>
  <c r="I30" i="2"/>
  <c r="L127" i="2"/>
  <c r="M89" i="2" l="1"/>
  <c r="M90" i="2" s="1"/>
  <c r="J96" i="2"/>
  <c r="J197" i="2" s="1"/>
  <c r="J102" i="2"/>
  <c r="J104" i="2" s="1"/>
  <c r="J150" i="2"/>
  <c r="I199" i="2"/>
  <c r="I200" i="2" s="1"/>
  <c r="I51" i="2"/>
  <c r="L269" i="2"/>
  <c r="L194" i="2"/>
  <c r="L10" i="2"/>
  <c r="L131" i="2"/>
  <c r="L146" i="2" s="1"/>
  <c r="L13" i="2" s="1"/>
  <c r="L130" i="2"/>
  <c r="J98" i="2"/>
  <c r="N144" i="2"/>
  <c r="O141" i="2"/>
  <c r="N142" i="2"/>
  <c r="M115" i="2"/>
  <c r="M116" i="2" s="1"/>
  <c r="N87" i="2" l="1"/>
  <c r="M29" i="2"/>
  <c r="M49" i="2"/>
  <c r="M11" i="2"/>
  <c r="J79" i="2"/>
  <c r="J37" i="2"/>
  <c r="K101" i="2"/>
  <c r="L149" i="2"/>
  <c r="L151" i="2"/>
  <c r="L261" i="2"/>
  <c r="K95" i="2"/>
  <c r="J30" i="2"/>
  <c r="M127" i="2"/>
  <c r="O140" i="2"/>
  <c r="L195" i="2"/>
  <c r="L196" i="2" s="1"/>
  <c r="J80" i="2" l="1"/>
  <c r="J262" i="2"/>
  <c r="M31" i="2"/>
  <c r="N112" i="2"/>
  <c r="M130" i="2"/>
  <c r="M131" i="2"/>
  <c r="M146" i="2" s="1"/>
  <c r="M13" i="2" s="1"/>
  <c r="N89" i="2"/>
  <c r="N90" i="2" s="1"/>
  <c r="O142" i="2"/>
  <c r="O144" i="2"/>
  <c r="M10" i="2"/>
  <c r="M194" i="2"/>
  <c r="K107" i="2"/>
  <c r="O87" i="2" l="1"/>
  <c r="N29" i="2"/>
  <c r="N127" i="2"/>
  <c r="M195" i="2"/>
  <c r="M196" i="2" s="1"/>
  <c r="M149" i="2"/>
  <c r="M151" i="2"/>
  <c r="M261" i="2"/>
  <c r="N115" i="2"/>
  <c r="N116" i="2" s="1"/>
  <c r="M269" i="2"/>
  <c r="K102" i="2"/>
  <c r="K104" i="2" s="1"/>
  <c r="K96" i="2"/>
  <c r="K150" i="2"/>
  <c r="J51" i="2"/>
  <c r="J199" i="2"/>
  <c r="J200" i="2" s="1"/>
  <c r="L101" i="2" l="1"/>
  <c r="K79" i="2"/>
  <c r="K37" i="2"/>
  <c r="N11" i="2"/>
  <c r="N49" i="2"/>
  <c r="O112" i="2"/>
  <c r="N31" i="2"/>
  <c r="N131" i="2"/>
  <c r="N146" i="2" s="1"/>
  <c r="N13" i="2" s="1"/>
  <c r="N130" i="2"/>
  <c r="K197" i="2"/>
  <c r="K98" i="2"/>
  <c r="O89" i="2"/>
  <c r="O90" i="2" s="1"/>
  <c r="O29" i="2" s="1"/>
  <c r="O115" i="2" l="1"/>
  <c r="O116" i="2" s="1"/>
  <c r="K30" i="2"/>
  <c r="L95" i="2"/>
  <c r="N269" i="2"/>
  <c r="N10" i="2"/>
  <c r="N194" i="2"/>
  <c r="O127" i="2"/>
  <c r="K80" i="2"/>
  <c r="K262" i="2"/>
  <c r="L107" i="2"/>
  <c r="K51" i="2" l="1"/>
  <c r="K199" i="2"/>
  <c r="K200" i="2" s="1"/>
  <c r="N151" i="2"/>
  <c r="N261" i="2"/>
  <c r="N149" i="2"/>
  <c r="L98" i="2"/>
  <c r="O130" i="2"/>
  <c r="O131" i="2"/>
  <c r="O146" i="2" s="1"/>
  <c r="O13" i="2" s="1"/>
  <c r="O49" i="2"/>
  <c r="O11" i="2"/>
  <c r="L96" i="2"/>
  <c r="L197" i="2" s="1"/>
  <c r="L102" i="2"/>
  <c r="L104" i="2" s="1"/>
  <c r="L150" i="2"/>
  <c r="N195" i="2"/>
  <c r="N196" i="2" s="1"/>
  <c r="O31" i="2"/>
  <c r="L30" i="2" l="1"/>
  <c r="M95" i="2"/>
  <c r="O194" i="2"/>
  <c r="O269" i="2"/>
  <c r="O10" i="2"/>
  <c r="M101" i="2"/>
  <c r="L79" i="2"/>
  <c r="L37" i="2"/>
  <c r="O195" i="2" l="1"/>
  <c r="O196" i="2" s="1"/>
  <c r="L80" i="2"/>
  <c r="L262" i="2"/>
  <c r="M107" i="2"/>
  <c r="O151" i="2"/>
  <c r="O261" i="2"/>
  <c r="O149" i="2"/>
  <c r="J208" i="2"/>
  <c r="M96" i="2" l="1"/>
  <c r="M102" i="2"/>
  <c r="M104" i="2" s="1"/>
  <c r="M150" i="2"/>
  <c r="L51" i="2"/>
  <c r="L199" i="2"/>
  <c r="L200" i="2" s="1"/>
  <c r="N101" i="2" l="1"/>
  <c r="M79" i="2"/>
  <c r="M37" i="2"/>
  <c r="M197" i="2"/>
  <c r="M98" i="2"/>
  <c r="M30" i="2" l="1"/>
  <c r="N95" i="2"/>
  <c r="M80" i="2"/>
  <c r="M262" i="2"/>
  <c r="N107" i="2"/>
  <c r="M51" i="2" l="1"/>
  <c r="M199" i="2"/>
  <c r="M200" i="2" s="1"/>
  <c r="N96" i="2"/>
  <c r="N197" i="2" s="1"/>
  <c r="N102" i="2"/>
  <c r="N104" i="2" s="1"/>
  <c r="N150" i="2"/>
  <c r="N98" i="2"/>
  <c r="O95" i="2" l="1"/>
  <c r="N30" i="2"/>
  <c r="N37" i="2"/>
  <c r="N79" i="2"/>
  <c r="O101" i="2"/>
  <c r="O107" i="2" l="1"/>
  <c r="N80" i="2"/>
  <c r="N262" i="2"/>
  <c r="N199" i="2" l="1"/>
  <c r="N200" i="2" s="1"/>
  <c r="N51" i="2"/>
  <c r="O96" i="2"/>
  <c r="O102" i="2"/>
  <c r="O104" i="2" s="1"/>
  <c r="O150" i="2"/>
  <c r="O79" i="2" l="1"/>
  <c r="O37" i="2"/>
  <c r="O197" i="2"/>
  <c r="O98" i="2"/>
  <c r="O30" i="2" l="1"/>
  <c r="O80" i="2"/>
  <c r="O262" i="2"/>
  <c r="O199" i="2" l="1"/>
  <c r="O200" i="2" s="1"/>
  <c r="O51" i="2"/>
  <c r="J211" i="2" l="1"/>
  <c r="D201" i="2" l="1"/>
  <c r="G201" i="2" s="1"/>
  <c r="G202" i="2" s="1"/>
  <c r="O201" i="2" l="1"/>
  <c r="I201" i="2"/>
  <c r="I202" i="2" s="1"/>
  <c r="E201" i="2"/>
  <c r="E202" i="2" s="1"/>
  <c r="M201" i="2"/>
  <c r="M202" i="2" s="1"/>
  <c r="F201" i="2"/>
  <c r="F202" i="2" s="1"/>
  <c r="N201" i="2"/>
  <c r="N202" i="2" s="1"/>
  <c r="J213" i="2"/>
  <c r="J201" i="2"/>
  <c r="J202" i="2" s="1"/>
  <c r="K201" i="2"/>
  <c r="K202" i="2" s="1"/>
  <c r="L201" i="2"/>
  <c r="L202" i="2" s="1"/>
  <c r="H201" i="2"/>
  <c r="H202" i="2" s="1"/>
  <c r="J214" i="2" l="1"/>
  <c r="D232" i="2" s="1"/>
  <c r="O202" i="2"/>
  <c r="J203" i="2" s="1"/>
  <c r="C231" i="2" s="1"/>
  <c r="J209" i="2"/>
  <c r="C232" i="2" s="1"/>
  <c r="C233" i="2" l="1"/>
  <c r="C235" i="2" s="1"/>
  <c r="C236" i="2" s="1"/>
  <c r="D231" i="2"/>
  <c r="D233" i="2" s="1"/>
  <c r="D235" i="2" s="1"/>
  <c r="D236" i="2" s="1"/>
  <c r="Y26" i="6" l="1"/>
  <c r="Y27" i="6"/>
  <c r="Y28" i="6"/>
  <c r="E14" i="2"/>
  <c r="F14" i="2"/>
  <c r="G14" i="2"/>
  <c r="H14" i="2"/>
  <c r="I14" i="2"/>
  <c r="J14" i="2"/>
  <c r="K14" i="2"/>
  <c r="L14" i="2"/>
  <c r="M14" i="2"/>
  <c r="N14" i="2"/>
  <c r="O14" i="2"/>
  <c r="E16" i="2"/>
  <c r="F16" i="2"/>
  <c r="G16" i="2"/>
  <c r="H16" i="2"/>
  <c r="I16" i="2"/>
  <c r="J16" i="2"/>
  <c r="K16" i="2"/>
  <c r="L16" i="2"/>
  <c r="M16" i="2"/>
  <c r="N16" i="2"/>
  <c r="O16" i="2"/>
  <c r="E17" i="2"/>
  <c r="F17" i="2"/>
  <c r="G17" i="2"/>
  <c r="H17" i="2"/>
  <c r="I17" i="2"/>
  <c r="J17" i="2"/>
  <c r="K17" i="2"/>
  <c r="L17" i="2"/>
  <c r="M17" i="2"/>
  <c r="N17" i="2"/>
  <c r="O17" i="2"/>
  <c r="E18" i="2"/>
  <c r="F18" i="2"/>
  <c r="G18" i="2"/>
  <c r="H18" i="2"/>
  <c r="I18" i="2"/>
  <c r="J18" i="2"/>
  <c r="K18" i="2"/>
  <c r="L18" i="2"/>
  <c r="M18" i="2"/>
  <c r="N18" i="2"/>
  <c r="O18" i="2"/>
  <c r="E22" i="2"/>
  <c r="F22" i="2"/>
  <c r="G22" i="2"/>
  <c r="H22" i="2"/>
  <c r="I22" i="2"/>
  <c r="J22" i="2"/>
  <c r="K22" i="2"/>
  <c r="L22" i="2"/>
  <c r="M22" i="2"/>
  <c r="N22" i="2"/>
  <c r="O22" i="2"/>
  <c r="E23" i="2"/>
  <c r="F23" i="2"/>
  <c r="G23" i="2"/>
  <c r="H23" i="2"/>
  <c r="I23" i="2"/>
  <c r="J23" i="2"/>
  <c r="K23" i="2"/>
  <c r="L23" i="2"/>
  <c r="M23" i="2"/>
  <c r="N23" i="2"/>
  <c r="O23" i="2"/>
  <c r="E27" i="2"/>
  <c r="F27" i="2"/>
  <c r="G27" i="2"/>
  <c r="H27" i="2"/>
  <c r="I27" i="2"/>
  <c r="J27" i="2"/>
  <c r="K27" i="2"/>
  <c r="L27" i="2"/>
  <c r="M27" i="2"/>
  <c r="N27" i="2"/>
  <c r="O27" i="2"/>
  <c r="E34" i="2"/>
  <c r="F34" i="2"/>
  <c r="G34" i="2"/>
  <c r="H34" i="2"/>
  <c r="I34" i="2"/>
  <c r="J34" i="2"/>
  <c r="K34" i="2"/>
  <c r="L34" i="2"/>
  <c r="M34" i="2"/>
  <c r="N34" i="2"/>
  <c r="O34" i="2"/>
  <c r="E40" i="2"/>
  <c r="F40" i="2"/>
  <c r="G40" i="2"/>
  <c r="H40" i="2"/>
  <c r="I40" i="2"/>
  <c r="J40" i="2"/>
  <c r="K40" i="2"/>
  <c r="L40" i="2"/>
  <c r="M40" i="2"/>
  <c r="N40" i="2"/>
  <c r="O40" i="2"/>
  <c r="E41" i="2"/>
  <c r="F41" i="2"/>
  <c r="G41" i="2"/>
  <c r="H41" i="2"/>
  <c r="I41" i="2"/>
  <c r="J41" i="2"/>
  <c r="K41" i="2"/>
  <c r="L41" i="2"/>
  <c r="M41" i="2"/>
  <c r="N41" i="2"/>
  <c r="O41" i="2"/>
  <c r="E42" i="2"/>
  <c r="F42" i="2"/>
  <c r="G42" i="2"/>
  <c r="H42" i="2"/>
  <c r="I42" i="2"/>
  <c r="J42" i="2"/>
  <c r="K42" i="2"/>
  <c r="L42" i="2"/>
  <c r="M42" i="2"/>
  <c r="N42" i="2"/>
  <c r="O42" i="2"/>
  <c r="E43" i="2"/>
  <c r="F43" i="2"/>
  <c r="G43" i="2"/>
  <c r="H43" i="2"/>
  <c r="I43" i="2"/>
  <c r="J43" i="2"/>
  <c r="K43" i="2"/>
  <c r="L43" i="2"/>
  <c r="M43" i="2"/>
  <c r="N43" i="2"/>
  <c r="O43" i="2"/>
  <c r="E44" i="2"/>
  <c r="F44" i="2"/>
  <c r="G44" i="2"/>
  <c r="H44" i="2"/>
  <c r="I44" i="2"/>
  <c r="J44" i="2"/>
  <c r="K44" i="2"/>
  <c r="L44" i="2"/>
  <c r="M44" i="2"/>
  <c r="N44" i="2"/>
  <c r="O44" i="2"/>
  <c r="E45" i="2"/>
  <c r="F45" i="2"/>
  <c r="G45" i="2"/>
  <c r="H45" i="2"/>
  <c r="I45" i="2"/>
  <c r="J45" i="2"/>
  <c r="K45" i="2"/>
  <c r="L45" i="2"/>
  <c r="M45" i="2"/>
  <c r="N45" i="2"/>
  <c r="O45" i="2"/>
  <c r="E48" i="2"/>
  <c r="F48" i="2"/>
  <c r="G48" i="2"/>
  <c r="H48" i="2"/>
  <c r="I48" i="2"/>
  <c r="J48" i="2"/>
  <c r="K48" i="2"/>
  <c r="L48" i="2"/>
  <c r="M48" i="2"/>
  <c r="N48" i="2"/>
  <c r="O48" i="2"/>
  <c r="E53" i="2"/>
  <c r="F53" i="2"/>
  <c r="G53" i="2"/>
  <c r="H53" i="2"/>
  <c r="I53" i="2"/>
  <c r="J53" i="2"/>
  <c r="K53" i="2"/>
  <c r="L53" i="2"/>
  <c r="M53" i="2"/>
  <c r="N53" i="2"/>
  <c r="O53" i="2"/>
  <c r="E58" i="2"/>
  <c r="F58" i="2"/>
  <c r="G58" i="2"/>
  <c r="H58" i="2"/>
  <c r="I58" i="2"/>
  <c r="J58" i="2"/>
  <c r="K58" i="2"/>
  <c r="L58" i="2"/>
  <c r="M58" i="2"/>
  <c r="N58" i="2"/>
  <c r="O58" i="2"/>
  <c r="E59" i="2"/>
  <c r="F59" i="2"/>
  <c r="G59" i="2"/>
  <c r="H59" i="2"/>
  <c r="I59" i="2"/>
  <c r="J59" i="2"/>
  <c r="K59" i="2"/>
  <c r="L59" i="2"/>
  <c r="M59" i="2"/>
  <c r="N59" i="2"/>
  <c r="O59" i="2"/>
  <c r="E61" i="2"/>
  <c r="F61" i="2"/>
  <c r="G61" i="2"/>
  <c r="H61" i="2"/>
  <c r="I61" i="2"/>
  <c r="J61" i="2"/>
  <c r="K61" i="2"/>
  <c r="L61" i="2"/>
  <c r="M61" i="2"/>
  <c r="N61" i="2"/>
  <c r="O61" i="2"/>
  <c r="E64" i="2"/>
  <c r="F64" i="2"/>
  <c r="G64" i="2"/>
  <c r="H64" i="2"/>
  <c r="I64" i="2"/>
  <c r="J64" i="2"/>
  <c r="K64" i="2"/>
  <c r="L64" i="2"/>
  <c r="M64" i="2"/>
  <c r="N64" i="2"/>
  <c r="O64" i="2"/>
  <c r="E66" i="2"/>
  <c r="F66" i="2"/>
  <c r="G66" i="2"/>
  <c r="H66" i="2"/>
  <c r="I66" i="2"/>
  <c r="J66" i="2"/>
  <c r="K66" i="2"/>
  <c r="L66" i="2"/>
  <c r="M66" i="2"/>
  <c r="N66" i="2"/>
  <c r="O66" i="2"/>
  <c r="F67" i="2"/>
  <c r="G67" i="2"/>
  <c r="H67" i="2"/>
  <c r="I67" i="2"/>
  <c r="J67" i="2"/>
  <c r="K67" i="2"/>
  <c r="L67" i="2"/>
  <c r="M67" i="2"/>
  <c r="N67" i="2"/>
  <c r="O67" i="2"/>
  <c r="E68" i="2"/>
  <c r="F68" i="2"/>
  <c r="G68" i="2"/>
  <c r="H68" i="2"/>
  <c r="I68" i="2"/>
  <c r="J68" i="2"/>
  <c r="K68" i="2"/>
  <c r="L68" i="2"/>
  <c r="M68" i="2"/>
  <c r="N68" i="2"/>
  <c r="O68" i="2"/>
  <c r="E69" i="2"/>
  <c r="F69" i="2"/>
  <c r="G69" i="2"/>
  <c r="H69" i="2"/>
  <c r="I69" i="2"/>
  <c r="J69" i="2"/>
  <c r="K69" i="2"/>
  <c r="L69" i="2"/>
  <c r="M69" i="2"/>
  <c r="N69" i="2"/>
  <c r="O69" i="2"/>
  <c r="E70" i="2"/>
  <c r="F70" i="2"/>
  <c r="G70" i="2"/>
  <c r="H70" i="2"/>
  <c r="I70" i="2"/>
  <c r="J70" i="2"/>
  <c r="K70" i="2"/>
  <c r="L70" i="2"/>
  <c r="M70" i="2"/>
  <c r="N70" i="2"/>
  <c r="O70" i="2"/>
  <c r="F133" i="2"/>
  <c r="G133" i="2"/>
  <c r="H133" i="2"/>
  <c r="I133" i="2"/>
  <c r="J133" i="2"/>
  <c r="K133" i="2"/>
  <c r="L133" i="2"/>
  <c r="M133" i="2"/>
  <c r="N133" i="2"/>
  <c r="O133" i="2"/>
  <c r="E134" i="2"/>
  <c r="F134" i="2"/>
  <c r="G134" i="2"/>
  <c r="H134" i="2"/>
  <c r="I134" i="2"/>
  <c r="J134" i="2"/>
  <c r="K134" i="2"/>
  <c r="L134" i="2"/>
  <c r="M134" i="2"/>
  <c r="N134" i="2"/>
  <c r="O134" i="2"/>
  <c r="E135" i="2"/>
  <c r="F135" i="2"/>
  <c r="G135" i="2"/>
  <c r="H135" i="2"/>
  <c r="I135" i="2"/>
  <c r="J135" i="2"/>
  <c r="K135" i="2"/>
  <c r="L135" i="2"/>
  <c r="M135" i="2"/>
  <c r="N135" i="2"/>
  <c r="O135" i="2"/>
  <c r="E136" i="2"/>
  <c r="F136" i="2"/>
  <c r="G136" i="2"/>
  <c r="H136" i="2"/>
  <c r="I136" i="2"/>
  <c r="J136" i="2"/>
  <c r="K136" i="2"/>
  <c r="L136" i="2"/>
  <c r="M136" i="2"/>
  <c r="N136" i="2"/>
  <c r="O136" i="2"/>
  <c r="E137" i="2"/>
  <c r="F137" i="2"/>
  <c r="G137" i="2"/>
  <c r="H137" i="2"/>
  <c r="I137" i="2"/>
  <c r="J137" i="2"/>
  <c r="K137" i="2"/>
  <c r="L137" i="2"/>
  <c r="M137" i="2"/>
  <c r="N137" i="2"/>
  <c r="O137" i="2"/>
  <c r="F138" i="2"/>
  <c r="G138" i="2"/>
  <c r="H138" i="2"/>
  <c r="I138" i="2"/>
  <c r="J138" i="2"/>
  <c r="K138" i="2"/>
  <c r="L138" i="2"/>
  <c r="M138" i="2"/>
  <c r="N138" i="2"/>
  <c r="O138" i="2"/>
  <c r="E147" i="2"/>
  <c r="F147" i="2"/>
  <c r="G147" i="2"/>
  <c r="H147" i="2"/>
  <c r="I147" i="2"/>
  <c r="J147" i="2"/>
  <c r="K147" i="2"/>
  <c r="L147" i="2"/>
  <c r="M147" i="2"/>
  <c r="N147" i="2"/>
  <c r="O147" i="2"/>
  <c r="E152" i="2"/>
  <c r="F152" i="2"/>
  <c r="G152" i="2"/>
  <c r="H152" i="2"/>
  <c r="I152" i="2"/>
  <c r="J152" i="2"/>
  <c r="K152" i="2"/>
  <c r="L152" i="2"/>
  <c r="M152" i="2"/>
  <c r="N152" i="2"/>
  <c r="O152" i="2"/>
  <c r="E153" i="2"/>
  <c r="F153" i="2"/>
  <c r="G153" i="2"/>
  <c r="H153" i="2"/>
  <c r="I153" i="2"/>
  <c r="J153" i="2"/>
  <c r="K153" i="2"/>
  <c r="L153" i="2"/>
  <c r="M153" i="2"/>
  <c r="N153" i="2"/>
  <c r="O153" i="2"/>
  <c r="F156" i="2"/>
  <c r="G156" i="2"/>
  <c r="H156" i="2"/>
  <c r="I156" i="2"/>
  <c r="J156" i="2"/>
  <c r="K156" i="2"/>
  <c r="L156" i="2"/>
  <c r="M156" i="2"/>
  <c r="N156" i="2"/>
  <c r="O156" i="2"/>
  <c r="E158" i="2"/>
  <c r="F158" i="2"/>
  <c r="G158" i="2"/>
  <c r="H158" i="2"/>
  <c r="I158" i="2"/>
  <c r="J158" i="2"/>
  <c r="K158" i="2"/>
  <c r="L158" i="2"/>
  <c r="M158" i="2"/>
  <c r="N158" i="2"/>
  <c r="O158" i="2"/>
  <c r="E163" i="2"/>
  <c r="F163" i="2"/>
  <c r="G163" i="2"/>
  <c r="H163" i="2"/>
  <c r="I163" i="2"/>
  <c r="J163" i="2"/>
  <c r="K163" i="2"/>
  <c r="L163" i="2"/>
  <c r="M163" i="2"/>
  <c r="N163" i="2"/>
  <c r="O163" i="2"/>
  <c r="E263" i="2"/>
  <c r="F263" i="2"/>
  <c r="G263" i="2"/>
  <c r="H263" i="2"/>
  <c r="I263" i="2"/>
  <c r="J263" i="2"/>
  <c r="K263" i="2"/>
  <c r="L263" i="2"/>
  <c r="M263" i="2"/>
  <c r="N263" i="2"/>
  <c r="O263" i="2"/>
  <c r="E264" i="2"/>
  <c r="F264" i="2"/>
  <c r="G264" i="2"/>
  <c r="H264" i="2"/>
  <c r="I264" i="2"/>
  <c r="J264" i="2"/>
  <c r="K264" i="2"/>
  <c r="L264" i="2"/>
  <c r="M264" i="2"/>
  <c r="N264" i="2"/>
  <c r="O264" i="2"/>
  <c r="E265" i="2"/>
  <c r="F265" i="2"/>
  <c r="G265" i="2"/>
  <c r="H265" i="2"/>
  <c r="I265" i="2"/>
  <c r="J265" i="2"/>
  <c r="K265" i="2"/>
  <c r="L265" i="2"/>
  <c r="M265" i="2"/>
  <c r="N265" i="2"/>
  <c r="O265" i="2"/>
  <c r="E266" i="2"/>
  <c r="F266" i="2"/>
  <c r="G266" i="2"/>
  <c r="H266" i="2"/>
  <c r="I266" i="2"/>
  <c r="J266" i="2"/>
  <c r="K266" i="2"/>
  <c r="L266" i="2"/>
  <c r="M266" i="2"/>
  <c r="N266" i="2"/>
  <c r="O266" i="2"/>
  <c r="E267" i="2"/>
  <c r="F267" i="2"/>
  <c r="G267" i="2"/>
  <c r="H267" i="2"/>
  <c r="I267" i="2"/>
  <c r="J267" i="2"/>
  <c r="K267" i="2"/>
  <c r="L267" i="2"/>
  <c r="M267" i="2"/>
  <c r="N267" i="2"/>
  <c r="O267" i="2"/>
  <c r="E270" i="2"/>
  <c r="F270" i="2"/>
  <c r="G270" i="2"/>
  <c r="H270" i="2"/>
  <c r="I270" i="2"/>
  <c r="J270" i="2"/>
  <c r="K270" i="2"/>
  <c r="L270" i="2"/>
  <c r="M270" i="2"/>
  <c r="N270" i="2"/>
  <c r="O2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Shijie Sun</author>
    <author>孙世杰</author>
  </authors>
  <commentList>
    <comment ref="J207" authorId="0" shapeId="0" xr:uid="{21812E31-B65E-0C4C-A6F7-D7BBDDA90E85}">
      <text>
        <r>
          <rPr>
            <b/>
            <sz val="10"/>
            <color rgb="FF000000"/>
            <rFont val="Tahoma"/>
            <family val="2"/>
          </rPr>
          <t>Using the lower end of comps' multiples.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J233" authorId="0" shapeId="0" xr:uid="{07F02AC7-AE50-F246-AF9B-8B657A7DE7BD}">
      <text>
        <r>
          <rPr>
            <b/>
            <sz val="10"/>
            <color rgb="FF000000"/>
            <rFont val="Tahoma"/>
            <family val="2"/>
          </rPr>
          <t xml:space="preserve">Due to the huge gap between MU and Broadcom, Broadcom count as an outlier.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E242" authorId="1" shapeId="0" xr:uid="{986185A2-069A-524F-BA7B-CF46026FE24F}">
      <text>
        <r>
          <rPr>
            <sz val="9"/>
            <color rgb="FF000000"/>
            <rFont val="Tahoma"/>
            <family val="2"/>
          </rPr>
          <t>Retreived from Micron Tech's latest 10K</t>
        </r>
      </text>
    </comment>
    <comment ref="E243" authorId="1" shapeId="0" xr:uid="{E35631D8-1051-924F-A41A-16DBAA00E99F}">
      <text>
        <r>
          <rPr>
            <sz val="9"/>
            <color rgb="FF000000"/>
            <rFont val="Tahoma"/>
            <family val="2"/>
          </rPr>
          <t>Explained in Ke Related Data Sheet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E244" authorId="1" shapeId="0" xr:uid="{095167DF-44F4-2F45-B43D-F4B1F98F110E}">
      <text>
        <r>
          <rPr>
            <sz val="9"/>
            <color rgb="FF000000"/>
            <rFont val="Tahoma"/>
            <family val="2"/>
          </rPr>
          <t xml:space="preserve">Explained in Ke Related Data Sheet
</t>
        </r>
      </text>
    </comment>
    <comment ref="E245" authorId="1" shapeId="0" xr:uid="{4E6D1727-2BD8-B246-B720-C9836842F7BF}">
      <text>
        <r>
          <rPr>
            <b/>
            <sz val="9"/>
            <color rgb="FF000000"/>
            <rFont val="Tahoma"/>
            <family val="2"/>
          </rPr>
          <t>Comps' levered Beta retrived from Capital Iq. Then unlever them with each company's D/E ratio. Take the average, and lever it with target company's D/E ratio. Calculation shown below.</t>
        </r>
      </text>
    </comment>
    <comment ref="E246" authorId="1" shapeId="0" xr:uid="{FBC9DD38-2296-6949-920A-497AC20C2C67}">
      <text>
        <r>
          <rPr>
            <sz val="9"/>
            <color rgb="FF000000"/>
            <rFont val="Tahoma"/>
            <family val="2"/>
          </rPr>
          <t xml:space="preserve">Explained in Ke Related Data Sheet
</t>
        </r>
      </text>
    </comment>
    <comment ref="E247" authorId="1" shapeId="0" xr:uid="{04BC44CE-395F-8845-A3AB-2384001B4857}">
      <text>
        <r>
          <rPr>
            <sz val="9"/>
            <color rgb="FF000000"/>
            <rFont val="Tahoma"/>
            <family val="2"/>
          </rPr>
          <t xml:space="preserve">Long-term U.S. GDP growth is expected at ~2.0–2.5%, however, 5G, AI, and etc. will keep the demand slightly higher than GDP growth. 
</t>
        </r>
        <r>
          <rPr>
            <sz val="9"/>
            <color rgb="FF000000"/>
            <rFont val="Tahoma"/>
            <family val="2"/>
          </rPr>
          <t>Conservatively, we use a LT Growth Rate at 2.5%.</t>
        </r>
      </text>
    </comment>
    <comment ref="E248" authorId="1" shapeId="0" xr:uid="{19F0A497-4A5B-CD4A-B5ED-8FF8D1A7B632}">
      <text>
        <r>
          <rPr>
            <b/>
            <sz val="9"/>
            <color rgb="FF000000"/>
            <rFont val="Tahoma"/>
            <family val="2"/>
          </rPr>
          <t xml:space="preserve">Calculated from Comp Analysis
</t>
        </r>
      </text>
    </comment>
  </commentList>
</comments>
</file>

<file path=xl/sharedStrings.xml><?xml version="1.0" encoding="utf-8"?>
<sst xmlns="http://schemas.openxmlformats.org/spreadsheetml/2006/main" count="749" uniqueCount="493">
  <si>
    <t>2023A</t>
  </si>
  <si>
    <t>2024A</t>
  </si>
  <si>
    <t>2025P</t>
  </si>
  <si>
    <t>2026P</t>
  </si>
  <si>
    <t>2027P</t>
  </si>
  <si>
    <t>2028P</t>
  </si>
  <si>
    <t xml:space="preserve">2029P </t>
  </si>
  <si>
    <t>2030P</t>
  </si>
  <si>
    <t>2031P</t>
  </si>
  <si>
    <t>2032P</t>
  </si>
  <si>
    <t>2033P</t>
  </si>
  <si>
    <t>2034P</t>
  </si>
  <si>
    <t>2035P</t>
  </si>
  <si>
    <t>Revenue</t>
  </si>
  <si>
    <t>Cost of Rev</t>
  </si>
  <si>
    <t xml:space="preserve">R&amp;D </t>
  </si>
  <si>
    <t>SG&amp;A</t>
  </si>
  <si>
    <t>Lease Exp</t>
  </si>
  <si>
    <t>Stock Comp</t>
  </si>
  <si>
    <t>D&amp;A</t>
  </si>
  <si>
    <t>Int Exp</t>
  </si>
  <si>
    <t xml:space="preserve"> </t>
  </si>
  <si>
    <t>Int Inc</t>
  </si>
  <si>
    <t>Other Exp/(Inc)</t>
  </si>
  <si>
    <t>Tax @ 21%</t>
  </si>
  <si>
    <t>Balance Sheet</t>
  </si>
  <si>
    <t>Cash</t>
  </si>
  <si>
    <t>ST &amp; LT Inv</t>
  </si>
  <si>
    <t>AR</t>
  </si>
  <si>
    <t>Inventory</t>
  </si>
  <si>
    <t>Prepaid Exp</t>
  </si>
  <si>
    <t>Total CA</t>
  </si>
  <si>
    <t>Intagible Assets, net</t>
  </si>
  <si>
    <t>Oper Lease ROU Asset</t>
  </si>
  <si>
    <t>Net PP&amp;E</t>
  </si>
  <si>
    <t xml:space="preserve">GW   </t>
  </si>
  <si>
    <t>Def Tax &amp; Other</t>
  </si>
  <si>
    <t>Total Assets</t>
  </si>
  <si>
    <t>AP--Adj OL</t>
  </si>
  <si>
    <t>Operating Lease Liab</t>
  </si>
  <si>
    <t>Other CL</t>
  </si>
  <si>
    <t>Non-Cur Liab+Gov Incent</t>
  </si>
  <si>
    <t>Total Debt</t>
  </si>
  <si>
    <t>Total Liab</t>
  </si>
  <si>
    <t>Owners Equity--CS</t>
  </si>
  <si>
    <t>Total Liab &amp; Equity</t>
  </si>
  <si>
    <t>Check Balance</t>
  </si>
  <si>
    <t>Statement of Cash Flows</t>
  </si>
  <si>
    <t>2023 A</t>
  </si>
  <si>
    <t>2029P</t>
  </si>
  <si>
    <t>Net Income</t>
  </si>
  <si>
    <t>Deprec &amp; Amort</t>
  </si>
  <si>
    <t>Net Change in WC</t>
  </si>
  <si>
    <t>Lease Payments</t>
  </si>
  <si>
    <t>Cash from Ops</t>
  </si>
  <si>
    <t>Additions</t>
  </si>
  <si>
    <t xml:space="preserve">CapEx </t>
  </si>
  <si>
    <t>CHIPS Act Payment</t>
  </si>
  <si>
    <t>ST/LT Investment</t>
  </si>
  <si>
    <t>Cash from Investing</t>
  </si>
  <si>
    <t>New Debt Issuances/Repayments</t>
  </si>
  <si>
    <t>Dividends Paid</t>
  </si>
  <si>
    <t>Buy Backs</t>
  </si>
  <si>
    <t>Cash From Financing</t>
  </si>
  <si>
    <t>Total Chg Cash</t>
  </si>
  <si>
    <t>Beg Cash</t>
  </si>
  <si>
    <t>Chg in cash</t>
  </si>
  <si>
    <t>End Cash</t>
  </si>
  <si>
    <t>Total  Liquidity</t>
  </si>
  <si>
    <t>Chg in WC</t>
  </si>
  <si>
    <t>Inv</t>
  </si>
  <si>
    <t>AP</t>
  </si>
  <si>
    <t>Prepaid Expenses</t>
  </si>
  <si>
    <t>Net WC</t>
  </si>
  <si>
    <t>Net Chg WC</t>
  </si>
  <si>
    <t>AR--DRO</t>
  </si>
  <si>
    <t>Inv--DIH</t>
  </si>
  <si>
    <t>AP--DPO</t>
  </si>
  <si>
    <t>Intangible Assets</t>
  </si>
  <si>
    <t>Intang Asset BOP</t>
  </si>
  <si>
    <t>Amortization</t>
  </si>
  <si>
    <t>Intang Asset EOP</t>
  </si>
  <si>
    <t>% R&amp;D Capitalized</t>
  </si>
  <si>
    <t>Intang Amort Rate</t>
  </si>
  <si>
    <t>Operating Leases</t>
  </si>
  <si>
    <t>ROU-BOP</t>
  </si>
  <si>
    <t>Lease Exp/ROU Amort (Level Lease-Int)</t>
  </si>
  <si>
    <t xml:space="preserve">New ROU </t>
  </si>
  <si>
    <t>Projection 15% GR</t>
  </si>
  <si>
    <t>ROU-EOP</t>
  </si>
  <si>
    <t>Lease Expense</t>
  </si>
  <si>
    <t>LeaseLiab-BOP</t>
  </si>
  <si>
    <t>Lease Amort ($ pmt-Int)</t>
  </si>
  <si>
    <t>New Lease Liab</t>
  </si>
  <si>
    <t>LeaseLiab-EOP</t>
  </si>
  <si>
    <t xml:space="preserve">Lease Payment  </t>
  </si>
  <si>
    <t>Lease Interest</t>
  </si>
  <si>
    <t>Lease Payment/BOP</t>
  </si>
  <si>
    <t>Lease Interest % (Weighted Avrg Rate 10-k)</t>
  </si>
  <si>
    <t>PP&amp;E Schedule</t>
  </si>
  <si>
    <t>PP&amp;E BOP</t>
  </si>
  <si>
    <t>CapEx</t>
  </si>
  <si>
    <t>CHIPS Act</t>
  </si>
  <si>
    <t>PP&amp;E EOP</t>
  </si>
  <si>
    <t>Dep Rate</t>
  </si>
  <si>
    <t>CapEx Projection</t>
  </si>
  <si>
    <t>DEBT STRUCTURE</t>
  </si>
  <si>
    <t>Revolver--BOP</t>
  </si>
  <si>
    <t>Draw/(Paydown)</t>
  </si>
  <si>
    <t>Rev--EOP</t>
  </si>
  <si>
    <t>Interest</t>
  </si>
  <si>
    <t>Borrowing base</t>
  </si>
  <si>
    <t>Rate %</t>
  </si>
  <si>
    <t>Sr Notes--BOP</t>
  </si>
  <si>
    <t>New Issue</t>
  </si>
  <si>
    <t>Repayment</t>
  </si>
  <si>
    <t>Sr Notes--EOP</t>
  </si>
  <si>
    <t>Avg Rate %</t>
  </si>
  <si>
    <t>Term Loans--BOP</t>
  </si>
  <si>
    <t>New Issuance</t>
  </si>
  <si>
    <t>Term Loan--EOP</t>
  </si>
  <si>
    <t>Financial Lease Obligations--BOP</t>
  </si>
  <si>
    <t>Lease payment</t>
  </si>
  <si>
    <t>New lease</t>
  </si>
  <si>
    <t>Finance Lease Obligations--EOP</t>
  </si>
  <si>
    <t>Total Interest</t>
  </si>
  <si>
    <t>EBITDA/Int</t>
  </si>
  <si>
    <t>EBITDAR/(Int Exp+Lease Int)</t>
  </si>
  <si>
    <t>EBITDAR/(Int Exp+Lease Exp)</t>
  </si>
  <si>
    <t>Debt/EBITDA</t>
  </si>
  <si>
    <t>(Debt+Lease Liab)/EBITDAR</t>
  </si>
  <si>
    <t>Owners Equity</t>
  </si>
  <si>
    <t>Beginning Balance</t>
  </si>
  <si>
    <t>New Capital (Par+APIC)</t>
  </si>
  <si>
    <t>Net Income--</t>
  </si>
  <si>
    <t>Share Repurchase</t>
  </si>
  <si>
    <t>Number of shares issued (at market price of $160 per share)</t>
  </si>
  <si>
    <t>Number of Shares oustanding</t>
  </si>
  <si>
    <t>Dividends Paid-CS *0.46 per share</t>
  </si>
  <si>
    <t>Ending Balance</t>
  </si>
  <si>
    <t>Assumptions</t>
  </si>
  <si>
    <t>Revenue Schedule</t>
  </si>
  <si>
    <t>DRAM Bits Index</t>
  </si>
  <si>
    <t xml:space="preserve">  DRAM Bit Growth %</t>
  </si>
  <si>
    <t>DRAM ASP Index</t>
  </si>
  <si>
    <t xml:space="preserve">  DRAM ASP Growth %</t>
  </si>
  <si>
    <t>DRAM Revenue ($MM)</t>
  </si>
  <si>
    <t xml:space="preserve">NAND Bit Index </t>
  </si>
  <si>
    <t xml:space="preserve">   NAND Bit Growth %</t>
  </si>
  <si>
    <t xml:space="preserve">NAND ASP Index </t>
  </si>
  <si>
    <t xml:space="preserve">  NAND ASP Growth %</t>
  </si>
  <si>
    <t>NAND Revenue ($MM)</t>
  </si>
  <si>
    <t>Total Revenue ($MM)</t>
  </si>
  <si>
    <t>Gross Margin</t>
  </si>
  <si>
    <t>R&amp;D</t>
  </si>
  <si>
    <t>Stock Compensation</t>
  </si>
  <si>
    <t>Prepaid Exp (% of Rev)</t>
  </si>
  <si>
    <t>Other CL (% of Rev)</t>
  </si>
  <si>
    <t>Share Repurchase will remain consistent</t>
  </si>
  <si>
    <t>Dividends per Share (Annual) will remain constant</t>
  </si>
  <si>
    <t>Interest Income Rate</t>
  </si>
  <si>
    <t>Valuation</t>
  </si>
  <si>
    <t>2023A</t>
    <phoneticPr fontId="0" type="noConversion"/>
  </si>
  <si>
    <t>2024A</t>
    <phoneticPr fontId="0" type="noConversion"/>
  </si>
  <si>
    <t>2025P</t>
    <phoneticPr fontId="0" type="noConversion"/>
  </si>
  <si>
    <t>2026P</t>
    <phoneticPr fontId="0" type="noConversion"/>
  </si>
  <si>
    <t>2027P</t>
    <phoneticPr fontId="0" type="noConversion"/>
  </si>
  <si>
    <t>2028P</t>
    <phoneticPr fontId="0" type="noConversion"/>
  </si>
  <si>
    <t>2029P</t>
    <phoneticPr fontId="0" type="noConversion"/>
  </si>
  <si>
    <t>2030P</t>
    <phoneticPr fontId="0" type="noConversion"/>
  </si>
  <si>
    <t>Nopat Calcuulation</t>
    <phoneticPr fontId="0" type="noConversion"/>
  </si>
  <si>
    <t>EBIT</t>
    <phoneticPr fontId="0" type="noConversion"/>
  </si>
  <si>
    <t>NOPAT</t>
  </si>
  <si>
    <t>D&amp;A Add Back</t>
  </si>
  <si>
    <t>CAPEX Subtract</t>
  </si>
  <si>
    <t>Adjust--Net Change in WC</t>
  </si>
  <si>
    <t>Discount Factor</t>
  </si>
  <si>
    <t>WACC =</t>
  </si>
  <si>
    <t>Sum of PV</t>
  </si>
  <si>
    <t>WACC Calculation</t>
  </si>
  <si>
    <t>AMT</t>
  </si>
  <si>
    <t>Weight</t>
  </si>
  <si>
    <t>Cost</t>
  </si>
  <si>
    <t>EMM TV Multiple</t>
  </si>
  <si>
    <t>Debt</t>
  </si>
  <si>
    <t>Comp EV/EBITDA</t>
  </si>
  <si>
    <t xml:space="preserve">Equity </t>
  </si>
  <si>
    <t>Terminal Value</t>
  </si>
  <si>
    <t xml:space="preserve">WACC </t>
  </si>
  <si>
    <t>PV of TV</t>
  </si>
  <si>
    <t>Cost of Debt</t>
  </si>
  <si>
    <t>PGM TV Multiple</t>
  </si>
  <si>
    <t>Interest Exp</t>
  </si>
  <si>
    <t>Term Y Unlevered Free Cash Flow</t>
  </si>
  <si>
    <t>Funded Debt</t>
  </si>
  <si>
    <t>Growth</t>
  </si>
  <si>
    <t>Est Cost of Debt</t>
  </si>
  <si>
    <t>TV(TV$F*(1+g)/(R-G))</t>
  </si>
  <si>
    <t>Kd Tax Effected</t>
  </si>
  <si>
    <t>Oper Lease Liability</t>
  </si>
  <si>
    <t xml:space="preserve">Equity Amount </t>
  </si>
  <si>
    <t>Lease Interest %</t>
  </si>
  <si>
    <t>2024 Market Share</t>
  </si>
  <si>
    <t>Tax Effected</t>
  </si>
  <si>
    <t>2024 Share Px</t>
  </si>
  <si>
    <t>WA Kd</t>
  </si>
  <si>
    <t>EMM Method</t>
  </si>
  <si>
    <t>EV/EBITDA</t>
  </si>
  <si>
    <t>Cost of Equity</t>
  </si>
  <si>
    <t>Comp1</t>
  </si>
  <si>
    <t>Equity Amount</t>
  </si>
  <si>
    <t>Comp2</t>
  </si>
  <si>
    <t>Rf%</t>
  </si>
  <si>
    <t>Comp3</t>
  </si>
  <si>
    <t>Lt Returns to Stk Market</t>
  </si>
  <si>
    <t>Average</t>
  </si>
  <si>
    <t>Equity Market Premium</t>
  </si>
  <si>
    <t>Beta</t>
    <phoneticPr fontId="0" type="noConversion"/>
  </si>
  <si>
    <t>CAPM Cost of Equity</t>
  </si>
  <si>
    <t>Size Premium</t>
  </si>
  <si>
    <t>Adjust Ke</t>
  </si>
  <si>
    <t>EV/REV</t>
  </si>
  <si>
    <t>EMM</t>
  </si>
  <si>
    <t>PGM</t>
  </si>
  <si>
    <t>PV Projection of Cash Flow</t>
  </si>
  <si>
    <t>PV-TV</t>
  </si>
  <si>
    <t>Enterprise Value</t>
  </si>
  <si>
    <t>Net Debt</t>
  </si>
  <si>
    <t>MU2024</t>
    <phoneticPr fontId="0" type="noConversion"/>
  </si>
  <si>
    <t>Equity Value</t>
  </si>
  <si>
    <t>Implied TEV</t>
  </si>
  <si>
    <t>Per Share Value</t>
  </si>
  <si>
    <t>Less Net Debt</t>
  </si>
  <si>
    <t>Est Equity Value</t>
  </si>
  <si>
    <t>Implied Share Price</t>
  </si>
  <si>
    <t>Valuation Assumptions</t>
  </si>
  <si>
    <t>Shares</t>
  </si>
  <si>
    <t>LT Ret to Stk Mkt</t>
  </si>
  <si>
    <t>Beta</t>
  </si>
  <si>
    <t>Size Prem</t>
  </si>
  <si>
    <t>LT Growth Rate $</t>
  </si>
  <si>
    <t>Comps EV/EBITDA</t>
  </si>
  <si>
    <t>Beta Calculation</t>
    <phoneticPr fontId="0" type="noConversion"/>
  </si>
  <si>
    <t>Company</t>
    <phoneticPr fontId="0" type="noConversion"/>
  </si>
  <si>
    <t>D/E Ratio</t>
    <phoneticPr fontId="0" type="noConversion"/>
  </si>
  <si>
    <t>Levered Beta</t>
    <phoneticPr fontId="0" type="noConversion"/>
  </si>
  <si>
    <t>Unlevered Beta</t>
    <phoneticPr fontId="0" type="noConversion"/>
  </si>
  <si>
    <t>Ambarella</t>
    <phoneticPr fontId="0" type="noConversion"/>
  </si>
  <si>
    <t>AMD</t>
    <phoneticPr fontId="0" type="noConversion"/>
  </si>
  <si>
    <t>Broadcom</t>
    <phoneticPr fontId="0" type="noConversion"/>
  </si>
  <si>
    <t>Marvell Technology</t>
    <phoneticPr fontId="0" type="noConversion"/>
  </si>
  <si>
    <t>Qualcom</t>
    <phoneticPr fontId="0" type="noConversion"/>
  </si>
  <si>
    <t xml:space="preserve">Average </t>
    <phoneticPr fontId="0" type="noConversion"/>
  </si>
  <si>
    <t>Micron Technology</t>
    <phoneticPr fontId="0" type="noConversion"/>
  </si>
  <si>
    <t>Financial Metric Analysis</t>
  </si>
  <si>
    <t>EBITDA %</t>
  </si>
  <si>
    <t>ROIC</t>
  </si>
  <si>
    <t>ROE</t>
  </si>
  <si>
    <t>NI/Sales</t>
  </si>
  <si>
    <t>Sales/Assets</t>
  </si>
  <si>
    <t>Assets/Equity</t>
  </si>
  <si>
    <t>EPS</t>
  </si>
  <si>
    <t>Projected Share Price</t>
  </si>
  <si>
    <t>Interest Coverage Ratio</t>
  </si>
  <si>
    <t>Debt Leverage Ratio</t>
  </si>
  <si>
    <t>5 Comparable Companies (thousands)</t>
  </si>
  <si>
    <t>LFY=Latest Fiscal Year</t>
  </si>
  <si>
    <t>Blue fields are data entry</t>
  </si>
  <si>
    <t>Valuation Date</t>
  </si>
  <si>
    <t>DuPont Analysis</t>
  </si>
  <si>
    <t>Name</t>
  </si>
  <si>
    <t>TEV</t>
  </si>
  <si>
    <t>Mkt Cap</t>
  </si>
  <si>
    <t>LFY Funded Debt</t>
  </si>
  <si>
    <t>LFY   Lease Liab</t>
  </si>
  <si>
    <t>LFY   Cash</t>
  </si>
  <si>
    <t>LFY Sales</t>
  </si>
  <si>
    <t>LFY-1        Sales</t>
  </si>
  <si>
    <t>YoY Rev Gr%</t>
  </si>
  <si>
    <t>LFY EBITDA</t>
  </si>
  <si>
    <t>LFY-1 EBITDA</t>
  </si>
  <si>
    <t>LFY EBITDA%</t>
  </si>
  <si>
    <t>LFY EBIT</t>
  </si>
  <si>
    <t>LFY EBITDAR</t>
  </si>
  <si>
    <t>LFY NI</t>
  </si>
  <si>
    <t>NI %</t>
  </si>
  <si>
    <t>LFY Tot Assets</t>
  </si>
  <si>
    <t>LFY Cash &amp; Equiv</t>
  </si>
  <si>
    <t>LFY Beg Eq</t>
  </si>
  <si>
    <t>LFY End Eq</t>
  </si>
  <si>
    <t>ROA</t>
  </si>
  <si>
    <t>Debt/     EBITDA</t>
  </si>
  <si>
    <t>Stk Px</t>
  </si>
  <si>
    <t>LFY FD Shares</t>
  </si>
  <si>
    <t>P/E</t>
  </si>
  <si>
    <t>P/B</t>
  </si>
  <si>
    <t>Debt/    Tot Cap</t>
  </si>
  <si>
    <t>Debt/   BV Equity</t>
  </si>
  <si>
    <t>NI/      Sales</t>
  </si>
  <si>
    <t>Sales/   Assets</t>
  </si>
  <si>
    <t>Assets/    Equity</t>
  </si>
  <si>
    <t>Check ROE</t>
  </si>
  <si>
    <t>Description</t>
  </si>
  <si>
    <t>Ambarella</t>
  </si>
  <si>
    <t>Technology leader in low power, high definition video compression and image processing semiconductors</t>
  </si>
  <si>
    <t>AMD</t>
  </si>
  <si>
    <t>Global semiconductor company focused on high-performance computing, graphics and visualization technologies.</t>
  </si>
  <si>
    <t>Broadcom</t>
  </si>
  <si>
    <t>Designs, develops, and supplies various semiconductor devices and infrastructure software solutions worldwide</t>
  </si>
  <si>
    <t>Marvell Technology</t>
  </si>
  <si>
    <t>Provides data infrastructure semiconductor solutions, spanning the data center core to network edge</t>
  </si>
  <si>
    <t>Qualcom</t>
  </si>
  <si>
    <t>Company offers integrated circuits and system software for mobile devices and other wireless products</t>
  </si>
  <si>
    <t>Peer Avg</t>
  </si>
  <si>
    <t>Peer Median</t>
  </si>
  <si>
    <t>Micron Technology Inc.</t>
  </si>
  <si>
    <t>233.8x</t>
  </si>
  <si>
    <t>4.0x</t>
  </si>
  <si>
    <t>Comp Set of 3 most Comparable Companies</t>
  </si>
  <si>
    <t>Here</t>
  </si>
  <si>
    <t>YoY           Rev Gr%</t>
  </si>
  <si>
    <t>LFY    EBITDA</t>
  </si>
  <si>
    <t>EBITDA%</t>
  </si>
  <si>
    <t>EV / Sales</t>
  </si>
  <si>
    <t>EV/ EBIT</t>
  </si>
  <si>
    <t>EV / EBITDA</t>
  </si>
  <si>
    <t>EV / EBITDAR</t>
  </si>
  <si>
    <t>Debt/  EBITDA</t>
  </si>
  <si>
    <t>Debt+OL/  EBITDAR</t>
  </si>
  <si>
    <t xml:space="preserve">Size Premia by Market Capitalization </t>
  </si>
  <si>
    <t>Date</t>
  </si>
  <si>
    <t>Rf%*</t>
  </si>
  <si>
    <t>ERP%</t>
  </si>
  <si>
    <t>Equity Market Cap ($MM)</t>
  </si>
  <si>
    <t>Decile</t>
  </si>
  <si>
    <t>Low End</t>
  </si>
  <si>
    <t>High End</t>
  </si>
  <si>
    <t>10a</t>
  </si>
  <si>
    <t>10b</t>
  </si>
  <si>
    <t>10c</t>
  </si>
  <si>
    <t>10d</t>
  </si>
  <si>
    <t>Source:  Duff &amp; Phelps (2021)</t>
  </si>
  <si>
    <t>Source:  Kroll (8/6/24)</t>
  </si>
  <si>
    <t>*Normalized  UST</t>
  </si>
  <si>
    <t xml:space="preserve">   Gross Marg</t>
  </si>
  <si>
    <t xml:space="preserve">   EBIT</t>
  </si>
  <si>
    <t xml:space="preserve">   EBITDA</t>
  </si>
  <si>
    <t xml:space="preserve">   EBT</t>
  </si>
  <si>
    <t xml:space="preserve">    Net Income</t>
  </si>
  <si>
    <t>Cash % of Rev (ST &amp; LT Rule: End Cash &gt; 22% of Rev)</t>
  </si>
  <si>
    <t xml:space="preserve">   Unlevered Free Cash Flow</t>
  </si>
  <si>
    <t>Segment</t>
  </si>
  <si>
    <t>CNBU</t>
  </si>
  <si>
    <t>MBU</t>
  </si>
  <si>
    <t>EBU</t>
  </si>
  <si>
    <t>SBU</t>
  </si>
  <si>
    <t>Method</t>
  </si>
  <si>
    <t>EV/Rev</t>
  </si>
  <si>
    <t>Total CL</t>
  </si>
  <si>
    <t>Year</t>
  </si>
  <si>
    <t>Revenue ($B)</t>
  </si>
  <si>
    <t>Gross Margin %</t>
  </si>
  <si>
    <t>FY24A</t>
  </si>
  <si>
    <t>FY25P</t>
  </si>
  <si>
    <t>FY26P</t>
  </si>
  <si>
    <t>FY27P</t>
  </si>
  <si>
    <t>FY28P</t>
  </si>
  <si>
    <t>FY29P</t>
  </si>
  <si>
    <t>FY30P</t>
  </si>
  <si>
    <t>EBITDA ($B)</t>
  </si>
  <si>
    <t>EBITDA Margin (%)</t>
  </si>
  <si>
    <t>Income Statement ($MM)</t>
  </si>
  <si>
    <t>Operating Cash Flow ($B)</t>
  </si>
  <si>
    <t>Metric</t>
  </si>
  <si>
    <t>FY23A</t>
  </si>
  <si>
    <t>Gross Profit ($B)</t>
  </si>
  <si>
    <t>Net Income ($B)</t>
  </si>
  <si>
    <t>Cash &amp; Investments ($B)</t>
  </si>
  <si>
    <t>Total Debt ($B)</t>
  </si>
  <si>
    <t>Net Debt ($B)</t>
  </si>
  <si>
    <t>Step</t>
  </si>
  <si>
    <t>Value ($MM)</t>
  </si>
  <si>
    <t>PV of Explicit Cash Flows</t>
  </si>
  <si>
    <t>PV of Terminal Value</t>
  </si>
  <si>
    <t>Shares Outstanding</t>
  </si>
  <si>
    <t>Implied Price</t>
  </si>
  <si>
    <t>Valuation Method</t>
  </si>
  <si>
    <t>Estimated Value ($/sh)</t>
  </si>
  <si>
    <t>PGM DCF</t>
  </si>
  <si>
    <t>Exit Multiple DCF (EMM)</t>
  </si>
  <si>
    <t>EV / Revenue Comps</t>
  </si>
  <si>
    <t>EV / EBITDA Comps</t>
  </si>
  <si>
    <t xml:space="preserve">Primary Driver </t>
  </si>
  <si>
    <t>g = 2.75%</t>
  </si>
  <si>
    <t>EV/REV = 14.4×</t>
  </si>
  <si>
    <t>EV/EBITDA = 38.8×</t>
  </si>
  <si>
    <t>Exit EV/EBITDA = 24.3×</t>
  </si>
  <si>
    <t>Weighted Target</t>
  </si>
  <si>
    <t>Close</t>
  </si>
  <si>
    <t>Capex Spending ($B)</t>
  </si>
  <si>
    <t>Free Cash Flow ($B)</t>
  </si>
  <si>
    <t>FY2023A</t>
  </si>
  <si>
    <t>FY2024A</t>
  </si>
  <si>
    <t>Gross Margin (%)</t>
  </si>
  <si>
    <t>Cash from Operations ($B)</t>
  </si>
  <si>
    <t>Fiscal Year</t>
  </si>
  <si>
    <t>Cash &amp; Investments</t>
  </si>
  <si>
    <t>FY2025P</t>
  </si>
  <si>
    <t>FY2026P</t>
  </si>
  <si>
    <t>FY2027P</t>
  </si>
  <si>
    <t>FY2028P</t>
  </si>
  <si>
    <t>FY2029P</t>
  </si>
  <si>
    <t>FY2030P</t>
  </si>
  <si>
    <t>Component</t>
  </si>
  <si>
    <t>Assumption</t>
  </si>
  <si>
    <t>Risk-free rate</t>
  </si>
  <si>
    <t>Long-term market return</t>
  </si>
  <si>
    <t>Implied equity risk premium</t>
  </si>
  <si>
    <t>Size premium</t>
  </si>
  <si>
    <t>−0.28%</t>
  </si>
  <si>
    <t>Cost of equity (adjusted)</t>
  </si>
  <si>
    <t>Tax-effected cost of debt</t>
  </si>
  <si>
    <t>Capital structure</t>
  </si>
  <si>
    <t>92.74% equity / 7.26% debt</t>
  </si>
  <si>
    <t>WACC</t>
  </si>
  <si>
    <t>Gross Margin \ WACC</t>
  </si>
  <si>
    <t>WACC / Terminal Growth</t>
  </si>
  <si>
    <t>Market Capitalization</t>
  </si>
  <si>
    <t>LFY Lease Liabilities</t>
  </si>
  <si>
    <t>LFY Cash</t>
  </si>
  <si>
    <t>LFY Revenue</t>
  </si>
  <si>
    <t>LFY-1 Revenue</t>
  </si>
  <si>
    <t>YoY Revenue Growth %</t>
  </si>
  <si>
    <t>LFY EBITDA Margin %</t>
  </si>
  <si>
    <t>LFY Net Income</t>
  </si>
  <si>
    <t>Net Income Margin %</t>
  </si>
  <si>
    <t>LFY Total Assets</t>
  </si>
  <si>
    <t>LFY Cash &amp; Equivalents</t>
  </si>
  <si>
    <t>LFY Beginning Equity</t>
  </si>
  <si>
    <t>LFY Ending Equity</t>
  </si>
  <si>
    <t>Return on Equity (ROE)</t>
  </si>
  <si>
    <t>Return on Assets (ROA)</t>
  </si>
  <si>
    <t>Debt / EBITDA</t>
  </si>
  <si>
    <t>Stock Price</t>
  </si>
  <si>
    <t>LFY Fully Diluted Shares</t>
  </si>
  <si>
    <t>Earnings Per Share (EPS)</t>
  </si>
  <si>
    <t>Price / Earnings (P/E)</t>
  </si>
  <si>
    <t>Price / Book (P/B)</t>
  </si>
  <si>
    <t>Debt / Total Capitalization</t>
  </si>
  <si>
    <t>Debt / Book Value of Equity</t>
  </si>
  <si>
    <t>Net Income / Revenue</t>
  </si>
  <si>
    <t>Revenue / Assets</t>
  </si>
  <si>
    <t>Assets / Equity</t>
  </si>
  <si>
    <t>ROE Check</t>
  </si>
  <si>
    <t>LFY-1 EBITDA Margin %</t>
  </si>
  <si>
    <t>Metric / Company</t>
  </si>
  <si>
    <t>Qualcomm</t>
  </si>
  <si>
    <t>Micron Technology</t>
  </si>
  <si>
    <t>EBITDA Margin %</t>
  </si>
  <si>
    <t>EV / Sales (x)</t>
  </si>
  <si>
    <t>10.1x</t>
  </si>
  <si>
    <t>33.1x</t>
  </si>
  <si>
    <t>5.0x</t>
  </si>
  <si>
    <t>16.1x</t>
  </si>
  <si>
    <t>7.5x</t>
  </si>
  <si>
    <t>EV / EBIT (x)</t>
  </si>
  <si>
    <t>125.0x</t>
  </si>
  <si>
    <t>123.0x</t>
  </si>
  <si>
    <t>17.7x</t>
  </si>
  <si>
    <t>88.6x</t>
  </si>
  <si>
    <t>104.7x</t>
  </si>
  <si>
    <t>EV / EBITDA (x)</t>
  </si>
  <si>
    <t>49.5x</t>
  </si>
  <si>
    <t>71.5x</t>
  </si>
  <si>
    <t>15.3x</t>
  </si>
  <si>
    <t>45.4x</t>
  </si>
  <si>
    <t>19.7x</t>
  </si>
  <si>
    <t>EV / EBITDAR (x)</t>
  </si>
  <si>
    <t>48.1x</t>
  </si>
  <si>
    <t>70.9x</t>
  </si>
  <si>
    <t>13.4x</t>
  </si>
  <si>
    <t>44.1x</t>
  </si>
  <si>
    <t>19.4x</t>
  </si>
  <si>
    <t>Price / Book (x)</t>
  </si>
  <si>
    <t>4.6x</t>
  </si>
  <si>
    <t>24.4x</t>
  </si>
  <si>
    <t>7.2x</t>
  </si>
  <si>
    <t>12.1x</t>
  </si>
  <si>
    <t>Price / Earnings (x)</t>
  </si>
  <si>
    <t>155.8x</t>
  </si>
  <si>
    <t>280.4x</t>
  </si>
  <si>
    <t>18.6x</t>
  </si>
  <si>
    <t>151.6x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</si>
</sst>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0.0\x"/>
    <numFmt numFmtId="169" formatCode="_ * #,##0_ ;_ * \-#,##0_ ;_ * &quot;-&quot;??_ ;_ @_ "/>
    <numFmt numFmtId="170" formatCode="_ * #,##0.00_ ;_ * \-#,##0.00_ ;_ * &quot;-&quot;??_ ;_ @_ "/>
    <numFmt numFmtId="171" formatCode="_ * #,##0.0_ ;_ * \-#,##0.0_ ;_ * &quot;-&quot;??_ ;_ @_ "/>
    <numFmt numFmtId="172" formatCode="0.00\x"/>
    <numFmt numFmtId="173" formatCode="#,##0_ "/>
    <numFmt numFmtId="174" formatCode="0.0\×"/>
    <numFmt numFmtId="175" formatCode="0.00_);[Red]\(0.00\)"/>
    <numFmt numFmtId="176" formatCode="#,##0.0_);\(#,##0.0\)"/>
  </numFmts>
  <fonts count="7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u val="singleAccounting"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u val="singleAccounting"/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b/>
      <u val="singleAccounting"/>
      <sz val="12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3366FF"/>
      <name val="Aptos Narrow"/>
      <family val="2"/>
      <scheme val="minor"/>
    </font>
    <font>
      <sz val="12"/>
      <color rgb="FF0070C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u/>
      <sz val="12"/>
      <color rgb="FFFF0000"/>
      <name val="Aptos Narrow"/>
      <family val="2"/>
      <scheme val="minor"/>
    </font>
    <font>
      <sz val="12"/>
      <color rgb="FF242424"/>
      <name val="Aptos Narrow"/>
    </font>
    <font>
      <u/>
      <sz val="12"/>
      <color rgb="FF000000"/>
      <name val="Aptos Narrow"/>
      <family val="2"/>
      <scheme val="minor"/>
    </font>
    <font>
      <b/>
      <sz val="12"/>
      <color theme="1"/>
      <name val="Aptos Narrow"/>
      <family val="3"/>
      <charset val="134"/>
      <scheme val="minor"/>
    </font>
    <font>
      <b/>
      <i/>
      <sz val="12"/>
      <color theme="1"/>
      <name val="Aptos Narrow"/>
      <family val="2"/>
      <scheme val="minor"/>
    </font>
    <font>
      <b/>
      <sz val="12"/>
      <name val="Aptos Narrow"/>
      <family val="3"/>
      <charset val="134"/>
      <scheme val="minor"/>
    </font>
    <font>
      <b/>
      <sz val="12"/>
      <color theme="1"/>
      <name val="Aptos Narrow"/>
      <scheme val="minor"/>
    </font>
    <font>
      <sz val="12"/>
      <name val="Aptos Narrow"/>
      <family val="3"/>
      <charset val="134"/>
      <scheme val="minor"/>
    </font>
    <font>
      <sz val="12"/>
      <color rgb="FFFF0000"/>
      <name val="Aptos Narrow"/>
      <family val="3"/>
      <charset val="134"/>
      <scheme val="minor"/>
    </font>
    <font>
      <sz val="12"/>
      <color rgb="FFFFFFFF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4"/>
      <color rgb="FFFF0000"/>
      <name val="Calibri"/>
      <family val="2"/>
    </font>
    <font>
      <b/>
      <sz val="14"/>
      <color rgb="FF0070C0"/>
      <name val="Calibri"/>
      <family val="2"/>
    </font>
    <font>
      <b/>
      <sz val="14"/>
      <color theme="1"/>
      <name val="Calibri"/>
      <family val="2"/>
    </font>
    <font>
      <b/>
      <sz val="16"/>
      <color rgb="FFFFFFFF"/>
      <name val="Calibri"/>
      <family val="2"/>
    </font>
    <font>
      <b/>
      <sz val="16"/>
      <color theme="3" tint="0.749992370372631"/>
      <name val="Calibri"/>
      <family val="2"/>
    </font>
    <font>
      <b/>
      <sz val="16"/>
      <color theme="0"/>
      <name val="Aptos Narrow (Body)"/>
    </font>
    <font>
      <b/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432FF"/>
      <name val="Calibri"/>
      <family val="2"/>
    </font>
    <font>
      <sz val="14"/>
      <color rgb="FF000000"/>
      <name val="Calibri"/>
      <family val="2"/>
    </font>
    <font>
      <i/>
      <sz val="12"/>
      <color theme="1"/>
      <name val="Calibri"/>
      <family val="2"/>
    </font>
    <font>
      <sz val="14"/>
      <color rgb="FF232A31"/>
      <name val="Arial"/>
      <family val="2"/>
    </font>
    <font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scheme val="minor"/>
    </font>
    <font>
      <b/>
      <sz val="16"/>
      <color theme="0"/>
      <name val="Aptos Narrow"/>
      <scheme val="minor"/>
    </font>
    <font>
      <b/>
      <sz val="16"/>
      <color theme="0" tint="-4.9989318521683403E-2"/>
      <name val="Aptos Narrow"/>
      <scheme val="minor"/>
    </font>
    <font>
      <b/>
      <sz val="12"/>
      <color theme="0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i/>
      <sz val="12"/>
      <color theme="1"/>
      <name val="Aptos Narrow"/>
      <scheme val="minor"/>
    </font>
    <font>
      <b/>
      <sz val="14"/>
      <color theme="0"/>
      <name val="Calibri"/>
      <family val="2"/>
    </font>
    <font>
      <b/>
      <sz val="15"/>
      <color theme="0"/>
      <name val="Calibri"/>
      <family val="2"/>
    </font>
    <font>
      <b/>
      <sz val="15"/>
      <color theme="0"/>
      <name val="Aptos Narrow"/>
      <family val="2"/>
      <scheme val="minor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sz val="15"/>
      <color rgb="FF000000"/>
      <name val="Calibri"/>
      <family val="2"/>
    </font>
    <font>
      <sz val="15"/>
      <color rgb="FF232A31"/>
      <name val="Arial"/>
      <family val="2"/>
    </font>
    <font>
      <sz val="15"/>
      <color theme="1"/>
      <name val="Arial"/>
      <family val="2"/>
    </font>
    <font>
      <sz val="15"/>
      <color theme="1"/>
      <name val="Aptos Narrow"/>
      <family val="2"/>
      <scheme val="minor"/>
    </font>
    <font>
      <b/>
      <sz val="14"/>
      <color theme="3" tint="0.249977111117893"/>
      <name val="Calibri"/>
      <family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5"/>
      <color theme="3" tint="0.249977111117893"/>
      <name val="Calibri"/>
      <family val="2"/>
    </font>
    <font>
      <i/>
      <sz val="15"/>
      <color theme="1"/>
      <name val="Calibri"/>
      <family val="2"/>
    </font>
    <font>
      <b/>
      <i/>
      <sz val="15"/>
      <color theme="1"/>
      <name val="Calibri"/>
      <family val="2"/>
    </font>
    <font>
      <b/>
      <sz val="15"/>
      <color theme="6"/>
      <name val="Aptos Narrow"/>
      <scheme val="minor"/>
    </font>
    <font>
      <b/>
      <i/>
      <sz val="15"/>
      <color theme="6"/>
      <name val="Aptos Narrow"/>
      <scheme val="minor"/>
    </font>
    <font>
      <b/>
      <sz val="14"/>
      <color theme="6"/>
      <name val="Calibri"/>
      <family val="2"/>
    </font>
    <font>
      <b/>
      <i/>
      <sz val="14"/>
      <color theme="6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9">
    <xf numFmtId="0" fontId="0" fillId="0" borderId="0" xfId="0"/>
    <xf numFmtId="0" fontId="1" fillId="0" borderId="0" xfId="2" applyFont="1"/>
    <xf numFmtId="0" fontId="2" fillId="0" borderId="0" xfId="2" applyFont="1"/>
    <xf numFmtId="0" fontId="4" fillId="2" borderId="1" xfId="2" applyFont="1" applyFill="1" applyBorder="1"/>
    <xf numFmtId="1" fontId="4" fillId="2" borderId="2" xfId="2" applyNumberFormat="1" applyFont="1" applyFill="1" applyBorder="1" applyAlignment="1">
      <alignment horizontal="center"/>
    </xf>
    <xf numFmtId="1" fontId="4" fillId="2" borderId="3" xfId="2" applyNumberFormat="1" applyFont="1" applyFill="1" applyBorder="1" applyAlignment="1">
      <alignment horizontal="center"/>
    </xf>
    <xf numFmtId="1" fontId="2" fillId="0" borderId="0" xfId="2" applyNumberFormat="1" applyFont="1" applyAlignment="1">
      <alignment horizontal="center"/>
    </xf>
    <xf numFmtId="43" fontId="6" fillId="0" borderId="4" xfId="2" applyNumberFormat="1" applyFont="1" applyBorder="1"/>
    <xf numFmtId="164" fontId="1" fillId="0" borderId="0" xfId="3" applyNumberFormat="1" applyFont="1" applyBorder="1"/>
    <xf numFmtId="164" fontId="1" fillId="0" borderId="5" xfId="3" applyNumberFormat="1" applyFont="1" applyBorder="1"/>
    <xf numFmtId="164" fontId="2" fillId="0" borderId="0" xfId="3" applyNumberFormat="1" applyFont="1" applyFill="1" applyBorder="1"/>
    <xf numFmtId="164" fontId="7" fillId="0" borderId="0" xfId="3" applyNumberFormat="1" applyFont="1" applyBorder="1"/>
    <xf numFmtId="164" fontId="7" fillId="0" borderId="5" xfId="3" applyNumberFormat="1" applyFont="1" applyBorder="1"/>
    <xf numFmtId="164" fontId="2" fillId="0" borderId="0" xfId="3" applyNumberFormat="1" applyFont="1" applyBorder="1"/>
    <xf numFmtId="164" fontId="1" fillId="0" borderId="0" xfId="2" applyNumberFormat="1" applyFont="1"/>
    <xf numFmtId="164" fontId="1" fillId="0" borderId="5" xfId="2" applyNumberFormat="1" applyFont="1" applyBorder="1"/>
    <xf numFmtId="164" fontId="2" fillId="0" borderId="0" xfId="2" applyNumberFormat="1" applyFont="1"/>
    <xf numFmtId="43" fontId="1" fillId="0" borderId="4" xfId="2" applyNumberFormat="1" applyFont="1" applyBorder="1"/>
    <xf numFmtId="164" fontId="8" fillId="0" borderId="5" xfId="2" applyNumberFormat="1" applyFont="1" applyBorder="1"/>
    <xf numFmtId="164" fontId="2" fillId="0" borderId="5" xfId="2" applyNumberFormat="1" applyFont="1" applyBorder="1"/>
    <xf numFmtId="164" fontId="6" fillId="0" borderId="0" xfId="2" applyNumberFormat="1" applyFont="1"/>
    <xf numFmtId="164" fontId="6" fillId="0" borderId="5" xfId="2" applyNumberFormat="1" applyFont="1" applyBorder="1"/>
    <xf numFmtId="164" fontId="2" fillId="0" borderId="7" xfId="2" applyNumberFormat="1" applyFont="1" applyBorder="1"/>
    <xf numFmtId="164" fontId="1" fillId="0" borderId="7" xfId="2" applyNumberFormat="1" applyFont="1" applyBorder="1"/>
    <xf numFmtId="164" fontId="1" fillId="0" borderId="8" xfId="2" applyNumberFormat="1" applyFont="1" applyBorder="1"/>
    <xf numFmtId="0" fontId="1" fillId="0" borderId="4" xfId="2" applyFont="1" applyBorder="1"/>
    <xf numFmtId="164" fontId="1" fillId="0" borderId="0" xfId="2" applyNumberFormat="1" applyFont="1" applyAlignment="1">
      <alignment horizontal="center"/>
    </xf>
    <xf numFmtId="164" fontId="1" fillId="0" borderId="5" xfId="2" applyNumberFormat="1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left"/>
    </xf>
    <xf numFmtId="164" fontId="2" fillId="0" borderId="5" xfId="2" applyNumberFormat="1" applyFont="1" applyBorder="1" applyAlignment="1">
      <alignment horizontal="left"/>
    </xf>
    <xf numFmtId="164" fontId="7" fillId="0" borderId="0" xfId="2" applyNumberFormat="1" applyFont="1" applyAlignment="1">
      <alignment horizontal="center"/>
    </xf>
    <xf numFmtId="164" fontId="7" fillId="0" borderId="0" xfId="2" applyNumberFormat="1" applyFont="1"/>
    <xf numFmtId="164" fontId="7" fillId="0" borderId="5" xfId="2" applyNumberFormat="1" applyFont="1" applyBorder="1"/>
    <xf numFmtId="164" fontId="9" fillId="0" borderId="0" xfId="2" applyNumberFormat="1" applyFont="1"/>
    <xf numFmtId="164" fontId="3" fillId="0" borderId="0" xfId="2" applyNumberFormat="1" applyFont="1"/>
    <xf numFmtId="164" fontId="3" fillId="0" borderId="5" xfId="2" applyNumberFormat="1" applyFont="1" applyBorder="1" applyAlignment="1">
      <alignment horizontal="center"/>
    </xf>
    <xf numFmtId="164" fontId="10" fillId="0" borderId="0" xfId="2" applyNumberFormat="1" applyFont="1" applyAlignment="1">
      <alignment horizontal="center"/>
    </xf>
    <xf numFmtId="164" fontId="1" fillId="0" borderId="5" xfId="2" applyNumberFormat="1" applyFont="1" applyBorder="1" applyAlignment="1">
      <alignment horizontal="left"/>
    </xf>
    <xf numFmtId="164" fontId="1" fillId="0" borderId="0" xfId="3" applyNumberFormat="1" applyFon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6" fillId="0" borderId="5" xfId="2" applyNumberFormat="1" applyFont="1" applyBorder="1" applyAlignment="1">
      <alignment horizontal="left"/>
    </xf>
    <xf numFmtId="164" fontId="11" fillId="0" borderId="5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0" fontId="1" fillId="0" borderId="6" xfId="2" applyFont="1" applyBorder="1"/>
    <xf numFmtId="164" fontId="1" fillId="0" borderId="7" xfId="2" applyNumberFormat="1" applyFont="1" applyBorder="1" applyAlignment="1">
      <alignment horizontal="center"/>
    </xf>
    <xf numFmtId="164" fontId="1" fillId="0" borderId="8" xfId="2" applyNumberFormat="1" applyFont="1" applyBorder="1" applyAlignment="1">
      <alignment horizontal="center"/>
    </xf>
    <xf numFmtId="164" fontId="1" fillId="0" borderId="0" xfId="4" applyNumberFormat="1" applyFont="1" applyFill="1" applyBorder="1"/>
    <xf numFmtId="164" fontId="1" fillId="0" borderId="5" xfId="4" applyNumberFormat="1" applyFont="1" applyFill="1" applyBorder="1"/>
    <xf numFmtId="164" fontId="2" fillId="0" borderId="0" xfId="4" applyNumberFormat="1" applyFont="1" applyFill="1" applyBorder="1"/>
    <xf numFmtId="164" fontId="1" fillId="0" borderId="0" xfId="4" applyNumberFormat="1" applyFont="1" applyBorder="1"/>
    <xf numFmtId="164" fontId="1" fillId="0" borderId="5" xfId="4" applyNumberFormat="1" applyFont="1" applyBorder="1"/>
    <xf numFmtId="0" fontId="3" fillId="0" borderId="4" xfId="2" applyFont="1" applyBorder="1"/>
    <xf numFmtId="164" fontId="3" fillId="0" borderId="0" xfId="4" applyNumberFormat="1" applyFont="1" applyFill="1" applyBorder="1"/>
    <xf numFmtId="164" fontId="3" fillId="0" borderId="5" xfId="4" applyNumberFormat="1" applyFont="1" applyFill="1" applyBorder="1"/>
    <xf numFmtId="164" fontId="10" fillId="0" borderId="0" xfId="4" applyNumberFormat="1" applyFont="1" applyFill="1" applyBorder="1"/>
    <xf numFmtId="43" fontId="1" fillId="0" borderId="0" xfId="2" applyNumberFormat="1" applyFont="1"/>
    <xf numFmtId="164" fontId="13" fillId="0" borderId="5" xfId="2" applyNumberFormat="1" applyFont="1" applyBorder="1"/>
    <xf numFmtId="164" fontId="10" fillId="0" borderId="0" xfId="2" applyNumberFormat="1" applyFont="1"/>
    <xf numFmtId="0" fontId="1" fillId="0" borderId="4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164" fontId="3" fillId="0" borderId="5" xfId="2" applyNumberFormat="1" applyFont="1" applyBorder="1"/>
    <xf numFmtId="164" fontId="3" fillId="0" borderId="0" xfId="4" applyNumberFormat="1" applyFont="1" applyBorder="1"/>
    <xf numFmtId="164" fontId="3" fillId="0" borderId="5" xfId="4" applyNumberFormat="1" applyFont="1" applyBorder="1"/>
    <xf numFmtId="0" fontId="3" fillId="0" borderId="6" xfId="2" applyFont="1" applyBorder="1"/>
    <xf numFmtId="164" fontId="3" fillId="0" borderId="7" xfId="4" applyNumberFormat="1" applyFont="1" applyBorder="1"/>
    <xf numFmtId="164" fontId="14" fillId="0" borderId="7" xfId="4" applyNumberFormat="1" applyFont="1" applyBorder="1"/>
    <xf numFmtId="164" fontId="14" fillId="0" borderId="8" xfId="4" applyNumberFormat="1" applyFont="1" applyBorder="1"/>
    <xf numFmtId="0" fontId="3" fillId="3" borderId="9" xfId="2" applyFont="1" applyFill="1" applyBorder="1"/>
    <xf numFmtId="1" fontId="3" fillId="3" borderId="10" xfId="2" applyNumberFormat="1" applyFont="1" applyFill="1" applyBorder="1" applyAlignment="1">
      <alignment horizontal="center"/>
    </xf>
    <xf numFmtId="0" fontId="3" fillId="4" borderId="10" xfId="2" applyFont="1" applyFill="1" applyBorder="1" applyAlignment="1">
      <alignment horizontal="center"/>
    </xf>
    <xf numFmtId="0" fontId="3" fillId="4" borderId="11" xfId="2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12" xfId="2" applyFont="1" applyBorder="1"/>
    <xf numFmtId="164" fontId="1" fillId="0" borderId="13" xfId="4" applyNumberFormat="1" applyFont="1" applyBorder="1"/>
    <xf numFmtId="164" fontId="7" fillId="0" borderId="0" xfId="4" applyNumberFormat="1" applyFont="1" applyBorder="1"/>
    <xf numFmtId="164" fontId="7" fillId="0" borderId="13" xfId="4" applyNumberFormat="1" applyFont="1" applyBorder="1"/>
    <xf numFmtId="164" fontId="9" fillId="0" borderId="0" xfId="4" applyNumberFormat="1" applyFont="1" applyFill="1" applyBorder="1"/>
    <xf numFmtId="0" fontId="3" fillId="3" borderId="12" xfId="2" applyFont="1" applyFill="1" applyBorder="1"/>
    <xf numFmtId="165" fontId="1" fillId="3" borderId="0" xfId="2" applyNumberFormat="1" applyFont="1" applyFill="1"/>
    <xf numFmtId="165" fontId="3" fillId="3" borderId="0" xfId="2" applyNumberFormat="1" applyFont="1" applyFill="1"/>
    <xf numFmtId="164" fontId="3" fillId="3" borderId="0" xfId="2" applyNumberFormat="1" applyFont="1" applyFill="1"/>
    <xf numFmtId="164" fontId="3" fillId="3" borderId="13" xfId="2" applyNumberFormat="1" applyFont="1" applyFill="1" applyBorder="1"/>
    <xf numFmtId="0" fontId="1" fillId="0" borderId="13" xfId="2" applyFont="1" applyBorder="1"/>
    <xf numFmtId="165" fontId="2" fillId="0" borderId="0" xfId="2" applyNumberFormat="1" applyFont="1"/>
    <xf numFmtId="165" fontId="1" fillId="0" borderId="0" xfId="2" applyNumberFormat="1" applyFont="1"/>
    <xf numFmtId="166" fontId="2" fillId="0" borderId="0" xfId="2" applyNumberFormat="1" applyFont="1"/>
    <xf numFmtId="166" fontId="2" fillId="0" borderId="13" xfId="2" applyNumberFormat="1" applyFont="1" applyBorder="1"/>
    <xf numFmtId="0" fontId="1" fillId="0" borderId="14" xfId="2" applyFont="1" applyBorder="1"/>
    <xf numFmtId="165" fontId="2" fillId="0" borderId="15" xfId="2" applyNumberFormat="1" applyFont="1" applyBorder="1"/>
    <xf numFmtId="165" fontId="1" fillId="0" borderId="15" xfId="2" applyNumberFormat="1" applyFont="1" applyBorder="1"/>
    <xf numFmtId="166" fontId="2" fillId="0" borderId="15" xfId="2" applyNumberFormat="1" applyFont="1" applyBorder="1"/>
    <xf numFmtId="166" fontId="2" fillId="0" borderId="16" xfId="2" applyNumberFormat="1" applyFont="1" applyBorder="1"/>
    <xf numFmtId="165" fontId="15" fillId="0" borderId="0" xfId="2" applyNumberFormat="1" applyFont="1"/>
    <xf numFmtId="165" fontId="1" fillId="0" borderId="0" xfId="4" applyNumberFormat="1" applyFont="1" applyBorder="1" applyAlignment="1">
      <alignment horizontal="center"/>
    </xf>
    <xf numFmtId="164" fontId="1" fillId="0" borderId="13" xfId="2" applyNumberFormat="1" applyFont="1" applyBorder="1"/>
    <xf numFmtId="165" fontId="1" fillId="0" borderId="0" xfId="2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164" fontId="7" fillId="0" borderId="13" xfId="2" applyNumberFormat="1" applyFont="1" applyBorder="1"/>
    <xf numFmtId="0" fontId="3" fillId="0" borderId="12" xfId="2" applyFont="1" applyBorder="1"/>
    <xf numFmtId="164" fontId="3" fillId="0" borderId="13" xfId="2" applyNumberFormat="1" applyFont="1" applyBorder="1"/>
    <xf numFmtId="9" fontId="2" fillId="0" borderId="0" xfId="5" applyFont="1" applyFill="1" applyBorder="1"/>
    <xf numFmtId="9" fontId="2" fillId="0" borderId="0" xfId="5" applyFont="1"/>
    <xf numFmtId="9" fontId="2" fillId="0" borderId="13" xfId="5" applyFont="1" applyBorder="1"/>
    <xf numFmtId="9" fontId="2" fillId="0" borderId="15" xfId="5" applyFont="1" applyFill="1" applyBorder="1"/>
    <xf numFmtId="9" fontId="2" fillId="0" borderId="15" xfId="5" applyFont="1" applyBorder="1"/>
    <xf numFmtId="9" fontId="2" fillId="0" borderId="16" xfId="5" applyFont="1" applyBorder="1"/>
    <xf numFmtId="1" fontId="1" fillId="3" borderId="10" xfId="2" applyNumberFormat="1" applyFont="1" applyFill="1" applyBorder="1" applyAlignment="1">
      <alignment horizontal="center"/>
    </xf>
    <xf numFmtId="0" fontId="1" fillId="4" borderId="10" xfId="2" applyFont="1" applyFill="1" applyBorder="1" applyAlignment="1">
      <alignment horizontal="center"/>
    </xf>
    <xf numFmtId="0" fontId="1" fillId="4" borderId="11" xfId="2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165" fontId="2" fillId="0" borderId="0" xfId="2" applyNumberFormat="1" applyFont="1" applyAlignment="1">
      <alignment horizontal="center"/>
    </xf>
    <xf numFmtId="164" fontId="2" fillId="0" borderId="13" xfId="2" applyNumberFormat="1" applyFont="1" applyBorder="1"/>
    <xf numFmtId="164" fontId="15" fillId="0" borderId="0" xfId="2" applyNumberFormat="1" applyFont="1"/>
    <xf numFmtId="164" fontId="1" fillId="0" borderId="0" xfId="5" applyNumberFormat="1" applyFont="1" applyBorder="1"/>
    <xf numFmtId="164" fontId="1" fillId="0" borderId="13" xfId="5" applyNumberFormat="1" applyFont="1" applyBorder="1"/>
    <xf numFmtId="164" fontId="2" fillId="0" borderId="0" xfId="5" applyNumberFormat="1" applyFont="1" applyFill="1" applyBorder="1"/>
    <xf numFmtId="167" fontId="2" fillId="0" borderId="0" xfId="5" applyNumberFormat="1" applyFont="1" applyFill="1" applyBorder="1"/>
    <xf numFmtId="167" fontId="2" fillId="0" borderId="13" xfId="5" applyNumberFormat="1" applyFont="1" applyFill="1" applyBorder="1"/>
    <xf numFmtId="10" fontId="2" fillId="0" borderId="15" xfId="5" applyNumberFormat="1" applyFont="1" applyFill="1" applyBorder="1"/>
    <xf numFmtId="167" fontId="2" fillId="0" borderId="15" xfId="5" applyNumberFormat="1" applyFont="1" applyFill="1" applyBorder="1"/>
    <xf numFmtId="167" fontId="2" fillId="0" borderId="15" xfId="5" applyNumberFormat="1" applyFont="1" applyBorder="1"/>
    <xf numFmtId="167" fontId="2" fillId="0" borderId="16" xfId="5" applyNumberFormat="1" applyFont="1" applyBorder="1"/>
    <xf numFmtId="9" fontId="16" fillId="0" borderId="0" xfId="5" applyFont="1" applyFill="1" applyBorder="1"/>
    <xf numFmtId="164" fontId="16" fillId="0" borderId="0" xfId="5" applyNumberFormat="1" applyFont="1" applyFill="1" applyBorder="1"/>
    <xf numFmtId="165" fontId="1" fillId="0" borderId="0" xfId="4" applyNumberFormat="1" applyFont="1" applyFill="1" applyBorder="1"/>
    <xf numFmtId="164" fontId="2" fillId="0" borderId="0" xfId="4" applyNumberFormat="1" applyFont="1" applyBorder="1"/>
    <xf numFmtId="164" fontId="2" fillId="0" borderId="13" xfId="4" applyNumberFormat="1" applyFont="1" applyBorder="1"/>
    <xf numFmtId="165" fontId="1" fillId="0" borderId="0" xfId="4" applyNumberFormat="1" applyFont="1" applyBorder="1"/>
    <xf numFmtId="164" fontId="17" fillId="0" borderId="0" xfId="4" applyNumberFormat="1" applyFont="1" applyBorder="1"/>
    <xf numFmtId="164" fontId="17" fillId="0" borderId="13" xfId="4" applyNumberFormat="1" applyFont="1" applyBorder="1"/>
    <xf numFmtId="164" fontId="18" fillId="0" borderId="0" xfId="4" applyNumberFormat="1" applyFont="1" applyFill="1" applyBorder="1"/>
    <xf numFmtId="164" fontId="3" fillId="0" borderId="13" xfId="4" applyNumberFormat="1" applyFont="1" applyBorder="1"/>
    <xf numFmtId="167" fontId="2" fillId="0" borderId="0" xfId="5" applyNumberFormat="1" applyFont="1" applyBorder="1"/>
    <xf numFmtId="9" fontId="2" fillId="0" borderId="0" xfId="5" applyFont="1" applyBorder="1"/>
    <xf numFmtId="164" fontId="2" fillId="0" borderId="15" xfId="3" applyNumberFormat="1" applyFont="1" applyBorder="1"/>
    <xf numFmtId="164" fontId="2" fillId="0" borderId="16" xfId="3" applyNumberFormat="1" applyFont="1" applyBorder="1"/>
    <xf numFmtId="0" fontId="4" fillId="2" borderId="9" xfId="2" applyFont="1" applyFill="1" applyBorder="1"/>
    <xf numFmtId="1" fontId="4" fillId="2" borderId="10" xfId="2" applyNumberFormat="1" applyFont="1" applyFill="1" applyBorder="1" applyAlignment="1">
      <alignment horizontal="center"/>
    </xf>
    <xf numFmtId="1" fontId="4" fillId="2" borderId="11" xfId="2" applyNumberFormat="1" applyFont="1" applyFill="1" applyBorder="1" applyAlignment="1">
      <alignment horizontal="center"/>
    </xf>
    <xf numFmtId="0" fontId="1" fillId="3" borderId="12" xfId="2" applyFont="1" applyFill="1" applyBorder="1"/>
    <xf numFmtId="165" fontId="1" fillId="3" borderId="0" xfId="4" applyNumberFormat="1" applyFont="1" applyFill="1" applyBorder="1"/>
    <xf numFmtId="165" fontId="1" fillId="3" borderId="13" xfId="4" applyNumberFormat="1" applyFont="1" applyFill="1" applyBorder="1"/>
    <xf numFmtId="165" fontId="2" fillId="0" borderId="0" xfId="4" applyNumberFormat="1" applyFont="1" applyFill="1" applyBorder="1"/>
    <xf numFmtId="165" fontId="7" fillId="0" borderId="13" xfId="2" applyNumberFormat="1" applyFont="1" applyBorder="1"/>
    <xf numFmtId="165" fontId="9" fillId="0" borderId="0" xfId="2" applyNumberFormat="1" applyFont="1"/>
    <xf numFmtId="165" fontId="3" fillId="0" borderId="13" xfId="2" applyNumberFormat="1" applyFont="1" applyBorder="1"/>
    <xf numFmtId="165" fontId="10" fillId="0" borderId="0" xfId="2" applyNumberFormat="1" applyFont="1"/>
    <xf numFmtId="165" fontId="1" fillId="0" borderId="13" xfId="2" applyNumberFormat="1" applyFont="1" applyBorder="1"/>
    <xf numFmtId="10" fontId="2" fillId="0" borderId="0" xfId="5" applyNumberFormat="1" applyFont="1" applyBorder="1"/>
    <xf numFmtId="10" fontId="1" fillId="0" borderId="0" xfId="5" applyNumberFormat="1" applyFont="1" applyBorder="1"/>
    <xf numFmtId="10" fontId="2" fillId="0" borderId="13" xfId="5" applyNumberFormat="1" applyFont="1" applyBorder="1"/>
    <xf numFmtId="10" fontId="2" fillId="0" borderId="0" xfId="5" applyNumberFormat="1" applyFont="1" applyFill="1" applyBorder="1"/>
    <xf numFmtId="164" fontId="1" fillId="3" borderId="0" xfId="4" applyNumberFormat="1" applyFont="1" applyFill="1" applyBorder="1"/>
    <xf numFmtId="164" fontId="1" fillId="3" borderId="13" xfId="4" applyNumberFormat="1" applyFont="1" applyFill="1" applyBorder="1"/>
    <xf numFmtId="43" fontId="6" fillId="0" borderId="0" xfId="4" applyFont="1" applyFill="1" applyBorder="1"/>
    <xf numFmtId="1" fontId="1" fillId="0" borderId="0" xfId="2" applyNumberFormat="1" applyFont="1"/>
    <xf numFmtId="0" fontId="19" fillId="0" borderId="12" xfId="2" applyFont="1" applyBorder="1"/>
    <xf numFmtId="164" fontId="3" fillId="0" borderId="0" xfId="5" applyNumberFormat="1" applyFont="1" applyBorder="1"/>
    <xf numFmtId="164" fontId="3" fillId="0" borderId="13" xfId="5" applyNumberFormat="1" applyFont="1" applyBorder="1"/>
    <xf numFmtId="164" fontId="10" fillId="0" borderId="0" xfId="5" applyNumberFormat="1" applyFont="1" applyFill="1" applyBorder="1"/>
    <xf numFmtId="10" fontId="1" fillId="0" borderId="0" xfId="5" applyNumberFormat="1" applyFont="1" applyFill="1" applyBorder="1"/>
    <xf numFmtId="0" fontId="1" fillId="5" borderId="12" xfId="2" applyFont="1" applyFill="1" applyBorder="1"/>
    <xf numFmtId="43" fontId="1" fillId="5" borderId="0" xfId="5" applyNumberFormat="1" applyFont="1" applyFill="1" applyBorder="1"/>
    <xf numFmtId="164" fontId="1" fillId="5" borderId="0" xfId="5" applyNumberFormat="1" applyFont="1" applyFill="1" applyBorder="1"/>
    <xf numFmtId="164" fontId="6" fillId="5" borderId="0" xfId="5" applyNumberFormat="1" applyFont="1" applyFill="1" applyBorder="1"/>
    <xf numFmtId="164" fontId="6" fillId="5" borderId="13" xfId="5" applyNumberFormat="1" applyFont="1" applyFill="1" applyBorder="1"/>
    <xf numFmtId="43" fontId="1" fillId="0" borderId="0" xfId="5" applyNumberFormat="1" applyFont="1" applyBorder="1"/>
    <xf numFmtId="164" fontId="2" fillId="0" borderId="0" xfId="5" applyNumberFormat="1" applyFont="1" applyBorder="1"/>
    <xf numFmtId="164" fontId="2" fillId="0" borderId="13" xfId="5" applyNumberFormat="1" applyFont="1" applyBorder="1"/>
    <xf numFmtId="164" fontId="6" fillId="0" borderId="13" xfId="2" applyNumberFormat="1" applyFont="1" applyBorder="1"/>
    <xf numFmtId="0" fontId="3" fillId="0" borderId="14" xfId="2" applyFont="1" applyBorder="1"/>
    <xf numFmtId="164" fontId="1" fillId="0" borderId="15" xfId="4" applyNumberFormat="1" applyFont="1" applyBorder="1"/>
    <xf numFmtId="164" fontId="1" fillId="0" borderId="16" xfId="4" applyNumberFormat="1" applyFont="1" applyBorder="1"/>
    <xf numFmtId="168" fontId="2" fillId="0" borderId="0" xfId="2" applyNumberFormat="1" applyFont="1" applyAlignment="1">
      <alignment horizontal="center"/>
    </xf>
    <xf numFmtId="168" fontId="1" fillId="0" borderId="15" xfId="4" applyNumberFormat="1" applyFont="1" applyBorder="1" applyAlignment="1">
      <alignment horizontal="center"/>
    </xf>
    <xf numFmtId="168" fontId="2" fillId="0" borderId="0" xfId="4" applyNumberFormat="1" applyFont="1" applyFill="1" applyBorder="1" applyAlignment="1">
      <alignment horizontal="center"/>
    </xf>
    <xf numFmtId="165" fontId="1" fillId="0" borderId="0" xfId="3" applyNumberFormat="1" applyFont="1" applyBorder="1"/>
    <xf numFmtId="164" fontId="1" fillId="0" borderId="13" xfId="3" applyNumberFormat="1" applyFont="1" applyBorder="1"/>
    <xf numFmtId="165" fontId="2" fillId="0" borderId="0" xfId="3" applyNumberFormat="1" applyFont="1" applyBorder="1"/>
    <xf numFmtId="164" fontId="6" fillId="0" borderId="0" xfId="3" applyNumberFormat="1" applyFont="1" applyBorder="1"/>
    <xf numFmtId="164" fontId="6" fillId="0" borderId="13" xfId="3" applyNumberFormat="1" applyFont="1" applyBorder="1"/>
    <xf numFmtId="164" fontId="2" fillId="0" borderId="13" xfId="3" applyNumberFormat="1" applyFont="1" applyBorder="1"/>
    <xf numFmtId="3" fontId="1" fillId="0" borderId="0" xfId="2" applyNumberFormat="1" applyFont="1"/>
    <xf numFmtId="165" fontId="18" fillId="0" borderId="0" xfId="3" applyNumberFormat="1" applyFont="1" applyBorder="1"/>
    <xf numFmtId="164" fontId="20" fillId="0" borderId="0" xfId="3" applyNumberFormat="1" applyFont="1" applyBorder="1"/>
    <xf numFmtId="164" fontId="18" fillId="0" borderId="0" xfId="3" applyNumberFormat="1" applyFont="1" applyBorder="1"/>
    <xf numFmtId="164" fontId="18" fillId="0" borderId="13" xfId="3" applyNumberFormat="1" applyFont="1" applyBorder="1"/>
    <xf numFmtId="164" fontId="18" fillId="0" borderId="0" xfId="3" applyNumberFormat="1" applyFont="1" applyFill="1" applyBorder="1"/>
    <xf numFmtId="164" fontId="3" fillId="0" borderId="15" xfId="4" applyNumberFormat="1" applyFont="1" applyBorder="1"/>
    <xf numFmtId="164" fontId="3" fillId="0" borderId="16" xfId="4" applyNumberFormat="1" applyFont="1" applyBorder="1"/>
    <xf numFmtId="0" fontId="3" fillId="4" borderId="9" xfId="2" applyFont="1" applyFill="1" applyBorder="1" applyAlignment="1">
      <alignment horizontal="center"/>
    </xf>
    <xf numFmtId="1" fontId="21" fillId="3" borderId="10" xfId="2" applyNumberFormat="1" applyFont="1" applyFill="1" applyBorder="1" applyAlignment="1">
      <alignment horizontal="center"/>
    </xf>
    <xf numFmtId="37" fontId="3" fillId="0" borderId="12" xfId="2" applyNumberFormat="1" applyFont="1" applyBorder="1"/>
    <xf numFmtId="37" fontId="2" fillId="0" borderId="0" xfId="2" applyNumberFormat="1" applyFont="1"/>
    <xf numFmtId="37" fontId="1" fillId="0" borderId="12" xfId="2" applyNumberFormat="1" applyFont="1" applyBorder="1"/>
    <xf numFmtId="1" fontId="1" fillId="0" borderId="13" xfId="2" applyNumberFormat="1" applyFont="1" applyBorder="1"/>
    <xf numFmtId="1" fontId="2" fillId="0" borderId="0" xfId="2" applyNumberFormat="1" applyFont="1"/>
    <xf numFmtId="9" fontId="2" fillId="0" borderId="0" xfId="2" applyNumberFormat="1" applyFont="1"/>
    <xf numFmtId="9" fontId="2" fillId="0" borderId="13" xfId="2" applyNumberFormat="1" applyFont="1" applyBorder="1"/>
    <xf numFmtId="37" fontId="1" fillId="0" borderId="13" xfId="2" applyNumberFormat="1" applyFont="1" applyBorder="1"/>
    <xf numFmtId="37" fontId="22" fillId="0" borderId="12" xfId="2" applyNumberFormat="1" applyFont="1" applyBorder="1"/>
    <xf numFmtId="37" fontId="2" fillId="0" borderId="13" xfId="2" applyNumberFormat="1" applyFont="1" applyBorder="1"/>
    <xf numFmtId="0" fontId="2" fillId="0" borderId="13" xfId="2" applyFont="1" applyBorder="1"/>
    <xf numFmtId="167" fontId="2" fillId="0" borderId="0" xfId="2" applyNumberFormat="1" applyFont="1"/>
    <xf numFmtId="167" fontId="2" fillId="0" borderId="13" xfId="2" applyNumberFormat="1" applyFont="1" applyBorder="1"/>
    <xf numFmtId="9" fontId="1" fillId="0" borderId="0" xfId="5" applyFont="1" applyBorder="1"/>
    <xf numFmtId="1" fontId="2" fillId="0" borderId="13" xfId="2" applyNumberFormat="1" applyFont="1" applyBorder="1"/>
    <xf numFmtId="2" fontId="1" fillId="0" borderId="0" xfId="2" applyNumberFormat="1" applyFont="1"/>
    <xf numFmtId="167" fontId="2" fillId="0" borderId="13" xfId="5" applyNumberFormat="1" applyFont="1" applyBorder="1"/>
    <xf numFmtId="0" fontId="1" fillId="0" borderId="15" xfId="2" applyFont="1" applyBorder="1"/>
    <xf numFmtId="167" fontId="1" fillId="0" borderId="0" xfId="5" applyNumberFormat="1" applyFont="1" applyFill="1" applyBorder="1" applyAlignment="1">
      <alignment horizontal="right"/>
    </xf>
    <xf numFmtId="38" fontId="1" fillId="0" borderId="0" xfId="2" applyNumberFormat="1" applyFont="1"/>
    <xf numFmtId="38" fontId="2" fillId="0" borderId="0" xfId="2" applyNumberFormat="1" applyFont="1"/>
    <xf numFmtId="38" fontId="9" fillId="0" borderId="0" xfId="2" applyNumberFormat="1" applyFont="1"/>
    <xf numFmtId="38" fontId="10" fillId="0" borderId="0" xfId="2" applyNumberFormat="1" applyFont="1"/>
    <xf numFmtId="0" fontId="1" fillId="2" borderId="2" xfId="2" applyFont="1" applyFill="1" applyBorder="1"/>
    <xf numFmtId="0" fontId="1" fillId="2" borderId="3" xfId="2" applyFont="1" applyFill="1" applyBorder="1"/>
    <xf numFmtId="0" fontId="1" fillId="0" borderId="5" xfId="2" applyFont="1" applyBorder="1"/>
    <xf numFmtId="0" fontId="3" fillId="6" borderId="1" xfId="2" applyFont="1" applyFill="1" applyBorder="1"/>
    <xf numFmtId="0" fontId="1" fillId="6" borderId="2" xfId="2" applyFont="1" applyFill="1" applyBorder="1"/>
    <xf numFmtId="0" fontId="1" fillId="6" borderId="3" xfId="2" applyFont="1" applyFill="1" applyBorder="1"/>
    <xf numFmtId="169" fontId="1" fillId="0" borderId="0" xfId="2" applyNumberFormat="1" applyFont="1"/>
    <xf numFmtId="10" fontId="1" fillId="0" borderId="5" xfId="2" applyNumberFormat="1" applyFont="1" applyBorder="1"/>
    <xf numFmtId="168" fontId="2" fillId="0" borderId="5" xfId="2" applyNumberFormat="1" applyFont="1" applyBorder="1"/>
    <xf numFmtId="170" fontId="1" fillId="0" borderId="0" xfId="2" applyNumberFormat="1" applyFont="1"/>
    <xf numFmtId="10" fontId="1" fillId="0" borderId="5" xfId="5" applyNumberFormat="1" applyFont="1" applyBorder="1"/>
    <xf numFmtId="169" fontId="1" fillId="0" borderId="5" xfId="2" applyNumberFormat="1" applyFont="1" applyBorder="1"/>
    <xf numFmtId="0" fontId="3" fillId="6" borderId="4" xfId="2" applyFont="1" applyFill="1" applyBorder="1"/>
    <xf numFmtId="0" fontId="1" fillId="6" borderId="0" xfId="2" applyFont="1" applyFill="1"/>
    <xf numFmtId="0" fontId="1" fillId="6" borderId="5" xfId="2" applyFont="1" applyFill="1" applyBorder="1"/>
    <xf numFmtId="10" fontId="2" fillId="0" borderId="5" xfId="2" applyNumberFormat="1" applyFont="1" applyBorder="1"/>
    <xf numFmtId="164" fontId="2" fillId="0" borderId="5" xfId="2" applyNumberFormat="1" applyFont="1" applyBorder="1" applyAlignment="1">
      <alignment horizontal="left" indent="2"/>
    </xf>
    <xf numFmtId="171" fontId="1" fillId="0" borderId="5" xfId="2" applyNumberFormat="1" applyFont="1" applyBorder="1"/>
    <xf numFmtId="0" fontId="1" fillId="0" borderId="7" xfId="2" applyFont="1" applyBorder="1"/>
    <xf numFmtId="169" fontId="1" fillId="0" borderId="8" xfId="2" applyNumberFormat="1" applyFont="1" applyBorder="1"/>
    <xf numFmtId="0" fontId="3" fillId="6" borderId="2" xfId="2" applyFont="1" applyFill="1" applyBorder="1"/>
    <xf numFmtId="0" fontId="24" fillId="6" borderId="3" xfId="2" applyFont="1" applyFill="1" applyBorder="1"/>
    <xf numFmtId="166" fontId="1" fillId="0" borderId="5" xfId="2" applyNumberFormat="1" applyFont="1" applyBorder="1"/>
    <xf numFmtId="172" fontId="1" fillId="0" borderId="8" xfId="2" applyNumberFormat="1" applyFont="1" applyBorder="1"/>
    <xf numFmtId="2" fontId="1" fillId="0" borderId="5" xfId="2" applyNumberFormat="1" applyFont="1" applyBorder="1"/>
    <xf numFmtId="10" fontId="1" fillId="0" borderId="8" xfId="2" applyNumberFormat="1" applyFont="1" applyBorder="1"/>
    <xf numFmtId="0" fontId="1" fillId="0" borderId="8" xfId="2" applyFont="1" applyBorder="1"/>
    <xf numFmtId="0" fontId="3" fillId="6" borderId="18" xfId="2" applyFont="1" applyFill="1" applyBorder="1"/>
    <xf numFmtId="0" fontId="3" fillId="6" borderId="17" xfId="2" applyFont="1" applyFill="1" applyBorder="1"/>
    <xf numFmtId="0" fontId="3" fillId="6" borderId="19" xfId="2" applyFont="1" applyFill="1" applyBorder="1"/>
    <xf numFmtId="0" fontId="1" fillId="0" borderId="20" xfId="2" applyFont="1" applyBorder="1"/>
    <xf numFmtId="166" fontId="1" fillId="0" borderId="0" xfId="2" applyNumberFormat="1" applyFont="1"/>
    <xf numFmtId="166" fontId="1" fillId="0" borderId="21" xfId="2" applyNumberFormat="1" applyFont="1" applyBorder="1" applyAlignment="1">
      <alignment horizontal="right"/>
    </xf>
    <xf numFmtId="9" fontId="1" fillId="0" borderId="0" xfId="2" applyNumberFormat="1" applyFont="1"/>
    <xf numFmtId="173" fontId="7" fillId="0" borderId="0" xfId="2" applyNumberFormat="1" applyFont="1"/>
    <xf numFmtId="173" fontId="1" fillId="0" borderId="0" xfId="2" applyNumberFormat="1" applyFont="1"/>
    <xf numFmtId="174" fontId="1" fillId="0" borderId="0" xfId="2" applyNumberFormat="1" applyFont="1" applyAlignment="1">
      <alignment horizontal="right"/>
    </xf>
    <xf numFmtId="174" fontId="1" fillId="0" borderId="21" xfId="2" applyNumberFormat="1" applyFont="1" applyBorder="1" applyAlignment="1">
      <alignment horizontal="right"/>
    </xf>
    <xf numFmtId="38" fontId="1" fillId="0" borderId="21" xfId="2" applyNumberFormat="1" applyFont="1" applyBorder="1"/>
    <xf numFmtId="170" fontId="3" fillId="0" borderId="0" xfId="2" applyNumberFormat="1" applyFont="1"/>
    <xf numFmtId="169" fontId="7" fillId="0" borderId="0" xfId="2" applyNumberFormat="1" applyFont="1"/>
    <xf numFmtId="169" fontId="7" fillId="0" borderId="21" xfId="2" applyNumberFormat="1" applyFont="1" applyBorder="1"/>
    <xf numFmtId="169" fontId="1" fillId="0" borderId="21" xfId="2" applyNumberFormat="1" applyFont="1" applyBorder="1"/>
    <xf numFmtId="0" fontId="3" fillId="0" borderId="22" xfId="2" applyFont="1" applyBorder="1"/>
    <xf numFmtId="0" fontId="1" fillId="0" borderId="23" xfId="2" applyFont="1" applyBorder="1"/>
    <xf numFmtId="170" fontId="3" fillId="0" borderId="24" xfId="2" applyNumberFormat="1" applyFont="1" applyBorder="1"/>
    <xf numFmtId="170" fontId="3" fillId="0" borderId="25" xfId="2" applyNumberFormat="1" applyFont="1" applyBorder="1"/>
    <xf numFmtId="0" fontId="4" fillId="2" borderId="2" xfId="2" applyFont="1" applyFill="1" applyBorder="1"/>
    <xf numFmtId="0" fontId="4" fillId="2" borderId="3" xfId="2" applyFont="1" applyFill="1" applyBorder="1"/>
    <xf numFmtId="38" fontId="2" fillId="0" borderId="5" xfId="2" applyNumberFormat="1" applyFont="1" applyBorder="1"/>
    <xf numFmtId="10" fontId="2" fillId="0" borderId="5" xfId="5" applyNumberFormat="1" applyFont="1" applyBorder="1"/>
    <xf numFmtId="2" fontId="2" fillId="0" borderId="5" xfId="2" applyNumberFormat="1" applyFont="1" applyBorder="1"/>
    <xf numFmtId="0" fontId="8" fillId="0" borderId="6" xfId="2" applyFont="1" applyBorder="1"/>
    <xf numFmtId="0" fontId="25" fillId="0" borderId="7" xfId="2" applyFont="1" applyBorder="1"/>
    <xf numFmtId="168" fontId="26" fillId="0" borderId="8" xfId="2" applyNumberFormat="1" applyFont="1" applyBorder="1" applyAlignment="1">
      <alignment horizontal="right"/>
    </xf>
    <xf numFmtId="167" fontId="1" fillId="0" borderId="0" xfId="5" applyNumberFormat="1" applyFont="1"/>
    <xf numFmtId="0" fontId="1" fillId="3" borderId="1" xfId="2" applyFont="1" applyFill="1" applyBorder="1"/>
    <xf numFmtId="0" fontId="1" fillId="3" borderId="2" xfId="2" applyFont="1" applyFill="1" applyBorder="1"/>
    <xf numFmtId="0" fontId="1" fillId="3" borderId="3" xfId="2" applyFont="1" applyFill="1" applyBorder="1"/>
    <xf numFmtId="10" fontId="1" fillId="0" borderId="0" xfId="2" applyNumberFormat="1" applyFont="1"/>
    <xf numFmtId="10" fontId="1" fillId="0" borderId="7" xfId="5" applyNumberFormat="1" applyFont="1" applyBorder="1"/>
    <xf numFmtId="2" fontId="1" fillId="0" borderId="7" xfId="2" applyNumberFormat="1" applyFont="1" applyBorder="1"/>
    <xf numFmtId="0" fontId="28" fillId="0" borderId="0" xfId="2" applyFont="1" applyAlignment="1">
      <alignment horizontal="center" wrapText="1"/>
    </xf>
    <xf numFmtId="10" fontId="29" fillId="0" borderId="0" xfId="5" applyNumberFormat="1" applyFont="1" applyBorder="1" applyAlignment="1">
      <alignment wrapText="1"/>
    </xf>
    <xf numFmtId="10" fontId="28" fillId="0" borderId="0" xfId="5" applyNumberFormat="1" applyFont="1" applyFill="1" applyBorder="1" applyAlignment="1">
      <alignment wrapText="1"/>
    </xf>
    <xf numFmtId="172" fontId="28" fillId="0" borderId="0" xfId="2" applyNumberFormat="1" applyFont="1" applyAlignment="1">
      <alignment wrapText="1"/>
    </xf>
    <xf numFmtId="175" fontId="28" fillId="0" borderId="0" xfId="2" applyNumberFormat="1" applyFont="1" applyAlignment="1">
      <alignment wrapText="1"/>
    </xf>
    <xf numFmtId="174" fontId="28" fillId="0" borderId="0" xfId="2" applyNumberFormat="1" applyFont="1" applyAlignment="1">
      <alignment wrapText="1"/>
    </xf>
    <xf numFmtId="0" fontId="5" fillId="0" borderId="0" xfId="2"/>
    <xf numFmtId="0" fontId="35" fillId="0" borderId="0" xfId="2" applyFont="1" applyAlignment="1">
      <alignment readingOrder="1"/>
    </xf>
    <xf numFmtId="0" fontId="29" fillId="0" borderId="0" xfId="2" applyFont="1" applyAlignment="1">
      <alignment readingOrder="1"/>
    </xf>
    <xf numFmtId="0" fontId="36" fillId="0" borderId="0" xfId="2" applyFont="1" applyAlignment="1">
      <alignment readingOrder="1"/>
    </xf>
    <xf numFmtId="0" fontId="37" fillId="0" borderId="26" xfId="2" applyFont="1" applyBorder="1" applyAlignment="1">
      <alignment readingOrder="1"/>
    </xf>
    <xf numFmtId="14" fontId="37" fillId="8" borderId="27" xfId="2" applyNumberFormat="1" applyFont="1" applyFill="1" applyBorder="1" applyAlignment="1">
      <alignment readingOrder="1"/>
    </xf>
    <xf numFmtId="0" fontId="37" fillId="9" borderId="28" xfId="2" applyFont="1" applyFill="1" applyBorder="1" applyAlignment="1">
      <alignment readingOrder="1"/>
    </xf>
    <xf numFmtId="0" fontId="38" fillId="7" borderId="28" xfId="2" applyFont="1" applyFill="1" applyBorder="1" applyAlignment="1">
      <alignment horizontal="center" readingOrder="1"/>
    </xf>
    <xf numFmtId="0" fontId="38" fillId="7" borderId="27" xfId="2" applyFont="1" applyFill="1" applyBorder="1" applyAlignment="1">
      <alignment horizontal="center" wrapText="1" readingOrder="1"/>
    </xf>
    <xf numFmtId="0" fontId="38" fillId="7" borderId="29" xfId="2" applyFont="1" applyFill="1" applyBorder="1" applyAlignment="1">
      <alignment horizontal="center" wrapText="1" readingOrder="1"/>
    </xf>
    <xf numFmtId="0" fontId="39" fillId="7" borderId="29" xfId="2" applyFont="1" applyFill="1" applyBorder="1" applyAlignment="1">
      <alignment horizontal="center" wrapText="1" readingOrder="1"/>
    </xf>
    <xf numFmtId="0" fontId="40" fillId="2" borderId="28" xfId="2" applyFont="1" applyFill="1" applyBorder="1"/>
    <xf numFmtId="0" fontId="41" fillId="0" borderId="30" xfId="6" applyFont="1" applyBorder="1" applyAlignment="1">
      <alignment horizontal="center" vertical="top"/>
    </xf>
    <xf numFmtId="3" fontId="42" fillId="0" borderId="0" xfId="2" applyNumberFormat="1" applyFont="1" applyAlignment="1">
      <alignment horizontal="center" readingOrder="1"/>
    </xf>
    <xf numFmtId="3" fontId="42" fillId="0" borderId="0" xfId="2" applyNumberFormat="1" applyFont="1" applyAlignment="1">
      <alignment horizontal="center" wrapText="1" readingOrder="1"/>
    </xf>
    <xf numFmtId="10" fontId="43" fillId="0" borderId="0" xfId="2" applyNumberFormat="1" applyFont="1" applyAlignment="1">
      <alignment horizontal="center" readingOrder="1"/>
    </xf>
    <xf numFmtId="164" fontId="44" fillId="0" borderId="0" xfId="2" applyNumberFormat="1" applyFont="1" applyAlignment="1">
      <alignment horizontal="center" readingOrder="1"/>
    </xf>
    <xf numFmtId="10" fontId="42" fillId="0" borderId="0" xfId="2" applyNumberFormat="1" applyFont="1" applyAlignment="1">
      <alignment horizontal="center" readingOrder="1"/>
    </xf>
    <xf numFmtId="10" fontId="43" fillId="10" borderId="0" xfId="2" applyNumberFormat="1" applyFont="1" applyFill="1" applyAlignment="1">
      <alignment horizontal="center" readingOrder="1"/>
    </xf>
    <xf numFmtId="8" fontId="42" fillId="0" borderId="0" xfId="2" applyNumberFormat="1" applyFont="1" applyAlignment="1">
      <alignment horizontal="center" readingOrder="1"/>
    </xf>
    <xf numFmtId="168" fontId="42" fillId="0" borderId="0" xfId="2" applyNumberFormat="1" applyFont="1" applyAlignment="1">
      <alignment horizontal="center" readingOrder="1"/>
    </xf>
    <xf numFmtId="8" fontId="42" fillId="10" borderId="0" xfId="2" applyNumberFormat="1" applyFont="1" applyFill="1" applyAlignment="1">
      <alignment horizontal="center" readingOrder="1"/>
    </xf>
    <xf numFmtId="174" fontId="42" fillId="0" borderId="0" xfId="2" applyNumberFormat="1" applyFont="1" applyAlignment="1">
      <alignment horizontal="center" readingOrder="1"/>
    </xf>
    <xf numFmtId="2" fontId="44" fillId="0" borderId="0" xfId="2" applyNumberFormat="1" applyFont="1" applyAlignment="1">
      <alignment horizontal="center" readingOrder="1"/>
    </xf>
    <xf numFmtId="2" fontId="42" fillId="0" borderId="0" xfId="2" applyNumberFormat="1" applyFont="1" applyAlignment="1">
      <alignment horizontal="center" readingOrder="1"/>
    </xf>
    <xf numFmtId="10" fontId="42" fillId="0" borderId="5" xfId="2" applyNumberFormat="1" applyFont="1" applyBorder="1" applyAlignment="1">
      <alignment horizontal="center" readingOrder="1"/>
    </xf>
    <xf numFmtId="0" fontId="45" fillId="0" borderId="30" xfId="2" applyFont="1" applyBorder="1" applyAlignment="1">
      <alignment wrapText="1" readingOrder="1"/>
    </xf>
    <xf numFmtId="0" fontId="41" fillId="4" borderId="30" xfId="6" applyFont="1" applyFill="1" applyBorder="1" applyAlignment="1">
      <alignment horizontal="center" vertical="top"/>
    </xf>
    <xf numFmtId="3" fontId="42" fillId="4" borderId="0" xfId="2" applyNumberFormat="1" applyFont="1" applyFill="1" applyAlignment="1">
      <alignment horizontal="center" readingOrder="1"/>
    </xf>
    <xf numFmtId="3" fontId="42" fillId="4" borderId="0" xfId="2" applyNumberFormat="1" applyFont="1" applyFill="1" applyAlignment="1">
      <alignment horizontal="center" wrapText="1" readingOrder="1"/>
    </xf>
    <xf numFmtId="10" fontId="43" fillId="4" borderId="0" xfId="2" applyNumberFormat="1" applyFont="1" applyFill="1" applyAlignment="1">
      <alignment horizontal="center" readingOrder="1"/>
    </xf>
    <xf numFmtId="164" fontId="44" fillId="4" borderId="0" xfId="2" applyNumberFormat="1" applyFont="1" applyFill="1" applyAlignment="1">
      <alignment horizontal="center" readingOrder="1"/>
    </xf>
    <xf numFmtId="10" fontId="42" fillId="4" borderId="0" xfId="2" applyNumberFormat="1" applyFont="1" applyFill="1" applyAlignment="1">
      <alignment horizontal="center" readingOrder="1"/>
    </xf>
    <xf numFmtId="3" fontId="46" fillId="4" borderId="0" xfId="2" applyNumberFormat="1" applyFont="1" applyFill="1" applyAlignment="1">
      <alignment horizontal="center" readingOrder="1"/>
    </xf>
    <xf numFmtId="3" fontId="47" fillId="4" borderId="0" xfId="2" applyNumberFormat="1" applyFont="1" applyFill="1" applyAlignment="1">
      <alignment horizontal="center" readingOrder="1"/>
    </xf>
    <xf numFmtId="8" fontId="42" fillId="4" borderId="0" xfId="2" applyNumberFormat="1" applyFont="1" applyFill="1" applyAlignment="1">
      <alignment horizontal="center" readingOrder="1"/>
    </xf>
    <xf numFmtId="168" fontId="42" fillId="4" borderId="0" xfId="2" applyNumberFormat="1" applyFont="1" applyFill="1" applyAlignment="1">
      <alignment horizontal="center" readingOrder="1"/>
    </xf>
    <xf numFmtId="174" fontId="42" fillId="4" borderId="0" xfId="2" applyNumberFormat="1" applyFont="1" applyFill="1" applyAlignment="1">
      <alignment horizontal="center" readingOrder="1"/>
    </xf>
    <xf numFmtId="2" fontId="44" fillId="4" borderId="0" xfId="2" applyNumberFormat="1" applyFont="1" applyFill="1" applyAlignment="1">
      <alignment horizontal="center" readingOrder="1"/>
    </xf>
    <xf numFmtId="2" fontId="42" fillId="4" borderId="0" xfId="2" applyNumberFormat="1" applyFont="1" applyFill="1" applyAlignment="1">
      <alignment horizontal="center" readingOrder="1"/>
    </xf>
    <xf numFmtId="10" fontId="42" fillId="4" borderId="5" xfId="2" applyNumberFormat="1" applyFont="1" applyFill="1" applyBorder="1" applyAlignment="1">
      <alignment horizontal="center" readingOrder="1"/>
    </xf>
    <xf numFmtId="0" fontId="45" fillId="4" borderId="30" xfId="2" applyFont="1" applyFill="1" applyBorder="1" applyAlignment="1">
      <alignment wrapText="1" readingOrder="1"/>
    </xf>
    <xf numFmtId="3" fontId="42" fillId="10" borderId="0" xfId="2" applyNumberFormat="1" applyFont="1" applyFill="1" applyAlignment="1">
      <alignment horizontal="center" readingOrder="1"/>
    </xf>
    <xf numFmtId="0" fontId="45" fillId="0" borderId="31" xfId="2" applyFont="1" applyBorder="1" applyAlignment="1">
      <alignment wrapText="1" readingOrder="1"/>
    </xf>
    <xf numFmtId="0" fontId="41" fillId="4" borderId="32" xfId="6" applyFont="1" applyFill="1" applyBorder="1" applyAlignment="1">
      <alignment horizontal="center"/>
    </xf>
    <xf numFmtId="164" fontId="48" fillId="4" borderId="2" xfId="7" applyNumberFormat="1" applyFont="1" applyFill="1" applyBorder="1" applyAlignment="1">
      <alignment horizontal="center"/>
    </xf>
    <xf numFmtId="164" fontId="48" fillId="4" borderId="2" xfId="8" applyNumberFormat="1" applyFont="1" applyFill="1" applyBorder="1" applyAlignment="1">
      <alignment horizontal="center"/>
    </xf>
    <xf numFmtId="167" fontId="48" fillId="4" borderId="2" xfId="9" applyNumberFormat="1" applyFont="1" applyFill="1" applyBorder="1" applyAlignment="1">
      <alignment horizontal="center"/>
    </xf>
    <xf numFmtId="10" fontId="48" fillId="4" borderId="2" xfId="7" applyNumberFormat="1" applyFont="1" applyFill="1" applyBorder="1" applyAlignment="1">
      <alignment horizontal="center"/>
    </xf>
    <xf numFmtId="43" fontId="48" fillId="4" borderId="2" xfId="8" applyFont="1" applyFill="1" applyBorder="1" applyAlignment="1">
      <alignment horizontal="center"/>
    </xf>
    <xf numFmtId="10" fontId="48" fillId="4" borderId="2" xfId="8" applyNumberFormat="1" applyFont="1" applyFill="1" applyBorder="1" applyAlignment="1">
      <alignment horizontal="center"/>
    </xf>
    <xf numFmtId="168" fontId="48" fillId="4" borderId="2" xfId="9" applyNumberFormat="1" applyFont="1" applyFill="1" applyBorder="1" applyAlignment="1">
      <alignment horizontal="center"/>
    </xf>
    <xf numFmtId="168" fontId="48" fillId="4" borderId="2" xfId="8" applyNumberFormat="1" applyFont="1" applyFill="1" applyBorder="1" applyAlignment="1">
      <alignment horizontal="center"/>
    </xf>
    <xf numFmtId="2" fontId="48" fillId="4" borderId="2" xfId="8" applyNumberFormat="1" applyFont="1" applyFill="1" applyBorder="1" applyAlignment="1">
      <alignment horizontal="center"/>
    </xf>
    <xf numFmtId="164" fontId="48" fillId="4" borderId="2" xfId="6" applyNumberFormat="1" applyFont="1" applyFill="1" applyBorder="1" applyAlignment="1">
      <alignment horizontal="center"/>
    </xf>
    <xf numFmtId="164" fontId="48" fillId="4" borderId="3" xfId="6" applyNumberFormat="1" applyFont="1" applyFill="1" applyBorder="1" applyAlignment="1">
      <alignment horizontal="center"/>
    </xf>
    <xf numFmtId="0" fontId="41" fillId="0" borderId="31" xfId="6" applyFont="1" applyBorder="1" applyAlignment="1">
      <alignment horizontal="center"/>
    </xf>
    <xf numFmtId="164" fontId="48" fillId="0" borderId="7" xfId="9" applyNumberFormat="1" applyFont="1" applyBorder="1" applyAlignment="1">
      <alignment horizontal="center"/>
    </xf>
    <xf numFmtId="164" fontId="48" fillId="0" borderId="7" xfId="8" applyNumberFormat="1" applyFont="1" applyBorder="1" applyAlignment="1">
      <alignment horizontal="center"/>
    </xf>
    <xf numFmtId="167" fontId="48" fillId="0" borderId="7" xfId="9" applyNumberFormat="1" applyFont="1" applyBorder="1" applyAlignment="1">
      <alignment horizontal="center"/>
    </xf>
    <xf numFmtId="164" fontId="48" fillId="0" borderId="7" xfId="7" applyNumberFormat="1" applyFont="1" applyBorder="1" applyAlignment="1">
      <alignment horizontal="center"/>
    </xf>
    <xf numFmtId="167" fontId="48" fillId="0" borderId="7" xfId="7" applyNumberFormat="1" applyFont="1" applyBorder="1" applyAlignment="1">
      <alignment horizontal="center"/>
    </xf>
    <xf numFmtId="10" fontId="48" fillId="0" borderId="7" xfId="7" applyNumberFormat="1" applyFont="1" applyBorder="1" applyAlignment="1">
      <alignment horizontal="center"/>
    </xf>
    <xf numFmtId="43" fontId="48" fillId="0" borderId="7" xfId="8" applyFont="1" applyBorder="1" applyAlignment="1">
      <alignment horizontal="center"/>
    </xf>
    <xf numFmtId="10" fontId="48" fillId="0" borderId="7" xfId="8" applyNumberFormat="1" applyFont="1" applyBorder="1" applyAlignment="1">
      <alignment horizontal="center"/>
    </xf>
    <xf numFmtId="168" fontId="48" fillId="0" borderId="7" xfId="9" applyNumberFormat="1" applyFont="1" applyBorder="1" applyAlignment="1">
      <alignment horizontal="center"/>
    </xf>
    <xf numFmtId="168" fontId="48" fillId="0" borderId="7" xfId="8" applyNumberFormat="1" applyFont="1" applyBorder="1" applyAlignment="1">
      <alignment horizontal="center"/>
    </xf>
    <xf numFmtId="2" fontId="48" fillId="0" borderId="7" xfId="8" applyNumberFormat="1" applyFont="1" applyBorder="1" applyAlignment="1">
      <alignment horizontal="center"/>
    </xf>
    <xf numFmtId="164" fontId="48" fillId="0" borderId="7" xfId="6" applyNumberFormat="1" applyFont="1" applyBorder="1" applyAlignment="1">
      <alignment horizontal="center"/>
    </xf>
    <xf numFmtId="164" fontId="48" fillId="0" borderId="8" xfId="6" applyNumberFormat="1" applyFont="1" applyBorder="1" applyAlignment="1">
      <alignment horizontal="center"/>
    </xf>
    <xf numFmtId="0" fontId="30" fillId="11" borderId="28" xfId="2" applyFont="1" applyFill="1" applyBorder="1" applyAlignment="1">
      <alignment horizontal="center" readingOrder="1"/>
    </xf>
    <xf numFmtId="3" fontId="29" fillId="11" borderId="29" xfId="2" applyNumberFormat="1" applyFont="1" applyFill="1" applyBorder="1" applyAlignment="1">
      <alignment horizontal="center" wrapText="1" readingOrder="1"/>
    </xf>
    <xf numFmtId="3" fontId="29" fillId="11" borderId="29" xfId="2" applyNumberFormat="1" applyFont="1" applyFill="1" applyBorder="1" applyAlignment="1">
      <alignment horizontal="center" readingOrder="1"/>
    </xf>
    <xf numFmtId="10" fontId="29" fillId="11" borderId="29" xfId="2" applyNumberFormat="1" applyFont="1" applyFill="1" applyBorder="1" applyAlignment="1">
      <alignment horizontal="center" readingOrder="1"/>
    </xf>
    <xf numFmtId="164" fontId="29" fillId="11" borderId="29" xfId="2" applyNumberFormat="1" applyFont="1" applyFill="1" applyBorder="1" applyAlignment="1">
      <alignment horizontal="center" readingOrder="1"/>
    </xf>
    <xf numFmtId="8" fontId="29" fillId="11" borderId="29" xfId="2" applyNumberFormat="1" applyFont="1" applyFill="1" applyBorder="1" applyAlignment="1">
      <alignment horizontal="center" readingOrder="1"/>
    </xf>
    <xf numFmtId="168" fontId="29" fillId="11" borderId="29" xfId="2" applyNumberFormat="1" applyFont="1" applyFill="1" applyBorder="1" applyAlignment="1">
      <alignment horizontal="center" readingOrder="1"/>
    </xf>
    <xf numFmtId="0" fontId="29" fillId="11" borderId="29" xfId="2" applyFont="1" applyFill="1" applyBorder="1" applyAlignment="1">
      <alignment horizontal="center" readingOrder="1"/>
    </xf>
    <xf numFmtId="10" fontId="29" fillId="11" borderId="27" xfId="2" applyNumberFormat="1" applyFont="1" applyFill="1" applyBorder="1" applyAlignment="1">
      <alignment horizontal="center" readingOrder="1"/>
    </xf>
    <xf numFmtId="0" fontId="1" fillId="0" borderId="0" xfId="6"/>
    <xf numFmtId="165" fontId="1" fillId="0" borderId="0" xfId="7" applyNumberFormat="1" applyFont="1"/>
    <xf numFmtId="166" fontId="1" fillId="0" borderId="0" xfId="6" applyNumberFormat="1"/>
    <xf numFmtId="174" fontId="1" fillId="0" borderId="0" xfId="9" applyNumberFormat="1" applyFont="1" applyFill="1" applyAlignment="1">
      <alignment horizontal="center"/>
    </xf>
    <xf numFmtId="0" fontId="49" fillId="0" borderId="0" xfId="6" applyFont="1"/>
    <xf numFmtId="0" fontId="50" fillId="2" borderId="28" xfId="6" applyFont="1" applyFill="1" applyBorder="1" applyAlignment="1">
      <alignment horizontal="center" vertical="center"/>
    </xf>
    <xf numFmtId="0" fontId="51" fillId="2" borderId="29" xfId="6" applyFont="1" applyFill="1" applyBorder="1" applyAlignment="1">
      <alignment horizontal="center" wrapText="1"/>
    </xf>
    <xf numFmtId="0" fontId="50" fillId="2" borderId="29" xfId="6" applyFont="1" applyFill="1" applyBorder="1" applyAlignment="1">
      <alignment horizontal="center" wrapText="1"/>
    </xf>
    <xf numFmtId="168" fontId="50" fillId="2" borderId="29" xfId="6" applyNumberFormat="1" applyFont="1" applyFill="1" applyBorder="1" applyAlignment="1">
      <alignment horizontal="center" wrapText="1"/>
    </xf>
    <xf numFmtId="0" fontId="50" fillId="2" borderId="33" xfId="6" applyFont="1" applyFill="1" applyBorder="1" applyAlignment="1">
      <alignment horizontal="center" wrapText="1"/>
    </xf>
    <xf numFmtId="0" fontId="50" fillId="2" borderId="34" xfId="6" applyFont="1" applyFill="1" applyBorder="1" applyAlignment="1">
      <alignment horizontal="center" wrapText="1"/>
    </xf>
    <xf numFmtId="0" fontId="50" fillId="2" borderId="27" xfId="6" applyFont="1" applyFill="1" applyBorder="1" applyAlignment="1">
      <alignment horizontal="center" wrapText="1"/>
    </xf>
    <xf numFmtId="0" fontId="50" fillId="0" borderId="0" xfId="6" applyFont="1" applyAlignment="1">
      <alignment horizontal="center" wrapText="1"/>
    </xf>
    <xf numFmtId="0" fontId="24" fillId="12" borderId="30" xfId="6" applyFont="1" applyFill="1" applyBorder="1" applyAlignment="1">
      <alignment horizontal="center" vertical="top"/>
    </xf>
    <xf numFmtId="164" fontId="1" fillId="3" borderId="0" xfId="6" applyNumberFormat="1" applyFill="1" applyAlignment="1">
      <alignment horizontal="center"/>
    </xf>
    <xf numFmtId="164" fontId="1" fillId="3" borderId="0" xfId="9" applyNumberFormat="1" applyFont="1" applyFill="1" applyBorder="1" applyAlignment="1">
      <alignment horizontal="center"/>
    </xf>
    <xf numFmtId="167" fontId="1" fillId="3" borderId="0" xfId="9" applyNumberFormat="1" applyFont="1" applyFill="1" applyBorder="1" applyAlignment="1">
      <alignment horizontal="center"/>
    </xf>
    <xf numFmtId="10" fontId="1" fillId="3" borderId="0" xfId="6" applyNumberFormat="1" applyFill="1" applyAlignment="1">
      <alignment horizontal="center"/>
    </xf>
    <xf numFmtId="174" fontId="1" fillId="3" borderId="0" xfId="6" applyNumberFormat="1" applyFill="1" applyAlignment="1">
      <alignment horizontal="center"/>
    </xf>
    <xf numFmtId="2" fontId="1" fillId="3" borderId="5" xfId="6" applyNumberFormat="1" applyFill="1" applyBorder="1" applyAlignment="1">
      <alignment horizontal="center"/>
    </xf>
    <xf numFmtId="164" fontId="1" fillId="0" borderId="0" xfId="6" applyNumberFormat="1" applyAlignment="1">
      <alignment horizontal="center"/>
    </xf>
    <xf numFmtId="43" fontId="1" fillId="0" borderId="0" xfId="6" applyNumberFormat="1" applyAlignment="1">
      <alignment horizontal="center"/>
    </xf>
    <xf numFmtId="0" fontId="24" fillId="13" borderId="30" xfId="6" applyFont="1" applyFill="1" applyBorder="1" applyAlignment="1">
      <alignment horizontal="center" vertical="top"/>
    </xf>
    <xf numFmtId="164" fontId="1" fillId="13" borderId="0" xfId="6" applyNumberFormat="1" applyFill="1" applyAlignment="1">
      <alignment horizontal="center"/>
    </xf>
    <xf numFmtId="164" fontId="1" fillId="13" borderId="0" xfId="9" applyNumberFormat="1" applyFont="1" applyFill="1" applyBorder="1" applyAlignment="1">
      <alignment horizontal="center"/>
    </xf>
    <xf numFmtId="167" fontId="1" fillId="13" borderId="0" xfId="9" applyNumberFormat="1" applyFont="1" applyFill="1" applyBorder="1" applyAlignment="1">
      <alignment horizontal="center"/>
    </xf>
    <xf numFmtId="10" fontId="1" fillId="13" borderId="0" xfId="6" applyNumberFormat="1" applyFill="1" applyAlignment="1">
      <alignment horizontal="center"/>
    </xf>
    <xf numFmtId="174" fontId="1" fillId="13" borderId="0" xfId="6" applyNumberFormat="1" applyFill="1" applyAlignment="1">
      <alignment horizontal="center"/>
    </xf>
    <xf numFmtId="2" fontId="1" fillId="13" borderId="5" xfId="6" applyNumberFormat="1" applyFill="1" applyBorder="1" applyAlignment="1">
      <alignment horizontal="center"/>
    </xf>
    <xf numFmtId="164" fontId="1" fillId="12" borderId="0" xfId="9" applyNumberFormat="1" applyFont="1" applyFill="1" applyBorder="1" applyAlignment="1">
      <alignment horizontal="center"/>
    </xf>
    <xf numFmtId="167" fontId="1" fillId="12" borderId="0" xfId="9" applyNumberFormat="1" applyFont="1" applyFill="1" applyBorder="1" applyAlignment="1">
      <alignment horizontal="center"/>
    </xf>
    <xf numFmtId="164" fontId="1" fillId="12" borderId="0" xfId="6" applyNumberFormat="1" applyFill="1" applyAlignment="1">
      <alignment horizontal="center"/>
    </xf>
    <xf numFmtId="10" fontId="1" fillId="12" borderId="0" xfId="6" applyNumberFormat="1" applyFill="1" applyAlignment="1">
      <alignment horizontal="center"/>
    </xf>
    <xf numFmtId="174" fontId="1" fillId="12" borderId="0" xfId="6" applyNumberFormat="1" applyFill="1" applyAlignment="1">
      <alignment horizontal="center"/>
    </xf>
    <xf numFmtId="0" fontId="24" fillId="0" borderId="32" xfId="6" applyFont="1" applyBorder="1" applyAlignment="1">
      <alignment horizontal="center"/>
    </xf>
    <xf numFmtId="164" fontId="1" fillId="0" borderId="2" xfId="9" applyNumberFormat="1" applyFont="1" applyBorder="1" applyAlignment="1">
      <alignment horizontal="center"/>
    </xf>
    <xf numFmtId="167" fontId="1" fillId="0" borderId="2" xfId="9" applyNumberFormat="1" applyFont="1" applyBorder="1" applyAlignment="1">
      <alignment horizontal="center"/>
    </xf>
    <xf numFmtId="168" fontId="1" fillId="0" borderId="2" xfId="9" applyNumberFormat="1" applyFont="1" applyBorder="1" applyAlignment="1">
      <alignment horizontal="center"/>
    </xf>
    <xf numFmtId="174" fontId="1" fillId="0" borderId="2" xfId="9" applyNumberFormat="1" applyFont="1" applyBorder="1" applyAlignment="1">
      <alignment horizontal="center"/>
    </xf>
    <xf numFmtId="2" fontId="1" fillId="0" borderId="3" xfId="9" applyNumberFormat="1" applyFont="1" applyBorder="1" applyAlignment="1">
      <alignment horizontal="center"/>
    </xf>
    <xf numFmtId="174" fontId="1" fillId="0" borderId="0" xfId="9" applyNumberFormat="1" applyFont="1" applyFill="1" applyBorder="1" applyAlignment="1">
      <alignment horizontal="center"/>
    </xf>
    <xf numFmtId="0" fontId="24" fillId="4" borderId="31" xfId="6" applyFont="1" applyFill="1" applyBorder="1" applyAlignment="1">
      <alignment horizontal="center"/>
    </xf>
    <xf numFmtId="164" fontId="1" fillId="4" borderId="7" xfId="9" applyNumberFormat="1" applyFont="1" applyFill="1" applyBorder="1" applyAlignment="1">
      <alignment horizontal="center"/>
    </xf>
    <xf numFmtId="10" fontId="1" fillId="4" borderId="7" xfId="9" applyNumberFormat="1" applyFont="1" applyFill="1" applyBorder="1" applyAlignment="1">
      <alignment horizontal="center"/>
    </xf>
    <xf numFmtId="168" fontId="1" fillId="4" borderId="7" xfId="9" applyNumberFormat="1" applyFont="1" applyFill="1" applyBorder="1" applyAlignment="1">
      <alignment horizontal="center"/>
    </xf>
    <xf numFmtId="174" fontId="1" fillId="4" borderId="7" xfId="9" applyNumberFormat="1" applyFont="1" applyFill="1" applyBorder="1" applyAlignment="1">
      <alignment horizontal="center"/>
    </xf>
    <xf numFmtId="2" fontId="1" fillId="4" borderId="8" xfId="9" applyNumberFormat="1" applyFont="1" applyFill="1" applyBorder="1" applyAlignment="1">
      <alignment horizontal="center"/>
    </xf>
    <xf numFmtId="0" fontId="30" fillId="0" borderId="31" xfId="2" applyFont="1" applyBorder="1" applyAlignment="1">
      <alignment horizontal="center" readingOrder="1"/>
    </xf>
    <xf numFmtId="164" fontId="1" fillId="0" borderId="7" xfId="6" applyNumberFormat="1" applyBorder="1" applyAlignment="1">
      <alignment horizontal="center"/>
    </xf>
    <xf numFmtId="164" fontId="1" fillId="0" borderId="7" xfId="9" applyNumberFormat="1" applyFont="1" applyFill="1" applyBorder="1" applyAlignment="1">
      <alignment horizontal="center"/>
    </xf>
    <xf numFmtId="167" fontId="1" fillId="0" borderId="7" xfId="9" applyNumberFormat="1" applyFont="1" applyFill="1" applyBorder="1" applyAlignment="1">
      <alignment horizontal="center"/>
    </xf>
    <xf numFmtId="10" fontId="1" fillId="0" borderId="7" xfId="6" applyNumberFormat="1" applyBorder="1" applyAlignment="1">
      <alignment horizontal="center"/>
    </xf>
    <xf numFmtId="174" fontId="1" fillId="0" borderId="7" xfId="6" applyNumberFormat="1" applyBorder="1" applyAlignment="1">
      <alignment horizontal="center"/>
    </xf>
    <xf numFmtId="2" fontId="1" fillId="0" borderId="8" xfId="6" applyNumberFormat="1" applyBorder="1" applyAlignment="1">
      <alignment horizontal="center"/>
    </xf>
    <xf numFmtId="165" fontId="1" fillId="0" borderId="0" xfId="6" applyNumberFormat="1" applyAlignment="1">
      <alignment horizontal="center"/>
    </xf>
    <xf numFmtId="0" fontId="52" fillId="2" borderId="35" xfId="6" applyFont="1" applyFill="1" applyBorder="1"/>
    <xf numFmtId="0" fontId="1" fillId="2" borderId="36" xfId="6" applyFill="1" applyBorder="1"/>
    <xf numFmtId="0" fontId="1" fillId="2" borderId="37" xfId="6" applyFill="1" applyBorder="1"/>
    <xf numFmtId="0" fontId="52" fillId="2" borderId="9" xfId="6" applyFont="1" applyFill="1" applyBorder="1" applyAlignment="1">
      <alignment horizontal="center"/>
    </xf>
    <xf numFmtId="0" fontId="52" fillId="2" borderId="10" xfId="6" applyFont="1" applyFill="1" applyBorder="1" applyAlignment="1">
      <alignment horizontal="center"/>
    </xf>
    <xf numFmtId="0" fontId="52" fillId="2" borderId="11" xfId="6" applyFont="1" applyFill="1" applyBorder="1" applyAlignment="1">
      <alignment horizontal="center"/>
    </xf>
    <xf numFmtId="0" fontId="1" fillId="0" borderId="38" xfId="6" applyBorder="1"/>
    <xf numFmtId="0" fontId="1" fillId="0" borderId="13" xfId="6" applyBorder="1"/>
    <xf numFmtId="14" fontId="1" fillId="0" borderId="12" xfId="6" applyNumberFormat="1" applyBorder="1" applyAlignment="1">
      <alignment horizontal="center"/>
    </xf>
    <xf numFmtId="10" fontId="1" fillId="0" borderId="0" xfId="9" applyNumberFormat="1" applyFont="1" applyFill="1" applyBorder="1" applyAlignment="1">
      <alignment horizontal="center"/>
    </xf>
    <xf numFmtId="10" fontId="1" fillId="0" borderId="13" xfId="9" applyNumberFormat="1" applyFont="1" applyFill="1" applyBorder="1" applyAlignment="1">
      <alignment horizontal="center"/>
    </xf>
    <xf numFmtId="0" fontId="1" fillId="4" borderId="35" xfId="6" applyFill="1" applyBorder="1" applyAlignment="1">
      <alignment horizontal="left"/>
    </xf>
    <xf numFmtId="0" fontId="1" fillId="4" borderId="36" xfId="6" applyFill="1" applyBorder="1" applyAlignment="1">
      <alignment horizontal="center"/>
    </xf>
    <xf numFmtId="0" fontId="1" fillId="4" borderId="37" xfId="6" applyFill="1" applyBorder="1" applyAlignment="1">
      <alignment horizontal="center"/>
    </xf>
    <xf numFmtId="0" fontId="1" fillId="0" borderId="38" xfId="6" applyBorder="1" applyAlignment="1">
      <alignment horizontal="center"/>
    </xf>
    <xf numFmtId="164" fontId="1" fillId="0" borderId="0" xfId="3" applyNumberFormat="1" applyFont="1" applyBorder="1" applyAlignment="1">
      <alignment horizontal="center" vertical="center"/>
    </xf>
    <xf numFmtId="10" fontId="1" fillId="0" borderId="13" xfId="9" applyNumberFormat="1" applyFont="1" applyBorder="1" applyAlignment="1">
      <alignment horizontal="center"/>
    </xf>
    <xf numFmtId="0" fontId="1" fillId="0" borderId="39" xfId="6" applyBorder="1" applyAlignment="1">
      <alignment horizontal="center"/>
    </xf>
    <xf numFmtId="164" fontId="1" fillId="0" borderId="15" xfId="3" applyNumberFormat="1" applyFont="1" applyBorder="1" applyAlignment="1">
      <alignment horizontal="center" vertical="center"/>
    </xf>
    <xf numFmtId="10" fontId="1" fillId="0" borderId="16" xfId="9" applyNumberFormat="1" applyFont="1" applyBorder="1" applyAlignment="1">
      <alignment horizontal="center"/>
    </xf>
    <xf numFmtId="0" fontId="1" fillId="0" borderId="0" xfId="6" applyAlignment="1">
      <alignment horizontal="left"/>
    </xf>
    <xf numFmtId="14" fontId="1" fillId="0" borderId="14" xfId="6" applyNumberFormat="1" applyBorder="1" applyAlignment="1">
      <alignment horizontal="center"/>
    </xf>
    <xf numFmtId="10" fontId="1" fillId="0" borderId="15" xfId="9" applyNumberFormat="1" applyFont="1" applyFill="1" applyBorder="1" applyAlignment="1">
      <alignment horizontal="center"/>
    </xf>
    <xf numFmtId="10" fontId="1" fillId="0" borderId="16" xfId="9" applyNumberFormat="1" applyFont="1" applyFill="1" applyBorder="1" applyAlignment="1">
      <alignment horizontal="center"/>
    </xf>
    <xf numFmtId="0" fontId="14" fillId="0" borderId="0" xfId="6" applyFont="1"/>
    <xf numFmtId="0" fontId="24" fillId="0" borderId="0" xfId="6" applyFont="1" applyAlignment="1">
      <alignment horizontal="center"/>
    </xf>
    <xf numFmtId="14" fontId="14" fillId="0" borderId="0" xfId="6" applyNumberFormat="1" applyFont="1" applyAlignment="1">
      <alignment horizontal="center"/>
    </xf>
    <xf numFmtId="10" fontId="14" fillId="0" borderId="0" xfId="9" applyNumberFormat="1" applyFont="1" applyFill="1" applyBorder="1" applyAlignment="1">
      <alignment horizontal="center"/>
    </xf>
    <xf numFmtId="43" fontId="53" fillId="0" borderId="4" xfId="2" applyNumberFormat="1" applyFont="1" applyBorder="1"/>
    <xf numFmtId="43" fontId="54" fillId="0" borderId="4" xfId="2" applyNumberFormat="1" applyFont="1" applyBorder="1"/>
    <xf numFmtId="43" fontId="24" fillId="0" borderId="4" xfId="2" applyNumberFormat="1" applyFont="1" applyBorder="1"/>
    <xf numFmtId="43" fontId="53" fillId="0" borderId="6" xfId="2" applyNumberFormat="1" applyFont="1" applyBorder="1"/>
    <xf numFmtId="1" fontId="2" fillId="0" borderId="15" xfId="5" applyNumberFormat="1" applyFont="1" applyBorder="1" applyAlignment="1">
      <alignment horizontal="right"/>
    </xf>
    <xf numFmtId="0" fontId="24" fillId="0" borderId="4" xfId="2" applyFont="1" applyBorder="1"/>
    <xf numFmtId="164" fontId="8" fillId="0" borderId="0" xfId="2" applyNumberFormat="1" applyFont="1"/>
    <xf numFmtId="164" fontId="13" fillId="0" borderId="0" xfId="2" applyNumberFormat="1" applyFont="1"/>
    <xf numFmtId="0" fontId="13" fillId="14" borderId="1" xfId="0" applyFont="1" applyFill="1" applyBorder="1"/>
    <xf numFmtId="0" fontId="6" fillId="0" borderId="4" xfId="0" applyFont="1" applyBorder="1"/>
    <xf numFmtId="0" fontId="6" fillId="0" borderId="6" xfId="0" applyFont="1" applyBorder="1"/>
    <xf numFmtId="166" fontId="6" fillId="0" borderId="0" xfId="0" applyNumberFormat="1" applyFont="1"/>
    <xf numFmtId="172" fontId="6" fillId="0" borderId="0" xfId="0" applyNumberFormat="1" applyFont="1"/>
    <xf numFmtId="0" fontId="53" fillId="0" borderId="0" xfId="0" applyFont="1"/>
    <xf numFmtId="0" fontId="13" fillId="14" borderId="3" xfId="0" applyFont="1" applyFill="1" applyBorder="1"/>
    <xf numFmtId="9" fontId="6" fillId="0" borderId="5" xfId="0" applyNumberFormat="1" applyFont="1" applyBorder="1"/>
    <xf numFmtId="9" fontId="6" fillId="0" borderId="8" xfId="0" applyNumberFormat="1" applyFont="1" applyBorder="1"/>
    <xf numFmtId="9" fontId="1" fillId="0" borderId="0" xfId="1" applyFont="1"/>
    <xf numFmtId="164" fontId="3" fillId="0" borderId="0" xfId="2" applyNumberFormat="1" applyFont="1" applyAlignment="1">
      <alignment horizontal="center"/>
    </xf>
    <xf numFmtId="164" fontId="1" fillId="0" borderId="0" xfId="2" applyNumberFormat="1" applyFont="1" applyAlignment="1">
      <alignment horizontal="left"/>
    </xf>
    <xf numFmtId="164" fontId="0" fillId="0" borderId="0" xfId="0" applyNumberFormat="1"/>
    <xf numFmtId="164" fontId="0" fillId="0" borderId="5" xfId="0" applyNumberFormat="1" applyBorder="1"/>
    <xf numFmtId="164" fontId="6" fillId="0" borderId="0" xfId="2" applyNumberFormat="1" applyFont="1" applyAlignment="1">
      <alignment horizontal="left"/>
    </xf>
    <xf numFmtId="164" fontId="11" fillId="0" borderId="0" xfId="2" applyNumberFormat="1" applyFont="1" applyAlignment="1">
      <alignment horizontal="center"/>
    </xf>
    <xf numFmtId="0" fontId="3" fillId="0" borderId="0" xfId="0" applyFont="1"/>
    <xf numFmtId="167" fontId="0" fillId="0" borderId="0" xfId="0" applyNumberFormat="1"/>
    <xf numFmtId="9" fontId="0" fillId="0" borderId="0" xfId="0" applyNumberFormat="1"/>
    <xf numFmtId="166" fontId="0" fillId="0" borderId="0" xfId="0" applyNumberFormat="1"/>
    <xf numFmtId="3" fontId="0" fillId="0" borderId="0" xfId="0" applyNumberFormat="1"/>
    <xf numFmtId="0" fontId="14" fillId="0" borderId="0" xfId="0" applyFont="1"/>
    <xf numFmtId="164" fontId="24" fillId="0" borderId="0" xfId="4" applyNumberFormat="1" applyFont="1" applyFill="1" applyBorder="1"/>
    <xf numFmtId="0" fontId="3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15" fontId="46" fillId="0" borderId="0" xfId="0" applyNumberFormat="1" applyFont="1"/>
    <xf numFmtId="0" fontId="46" fillId="0" borderId="0" xfId="0" applyFont="1"/>
    <xf numFmtId="3" fontId="46" fillId="0" borderId="0" xfId="0" applyNumberFormat="1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0" fontId="3" fillId="0" borderId="0" xfId="0" applyNumberFormat="1" applyFont="1"/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37" fontId="1" fillId="0" borderId="0" xfId="2" applyNumberFormat="1" applyFont="1"/>
    <xf numFmtId="1" fontId="2" fillId="0" borderId="16" xfId="5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7" fillId="0" borderId="0" xfId="2" applyNumberFormat="1" applyFont="1"/>
    <xf numFmtId="165" fontId="3" fillId="0" borderId="0" xfId="2" applyNumberFormat="1" applyFont="1"/>
    <xf numFmtId="43" fontId="6" fillId="0" borderId="0" xfId="2" applyNumberFormat="1" applyFont="1"/>
    <xf numFmtId="168" fontId="1" fillId="0" borderId="0" xfId="2" applyNumberFormat="1" applyFont="1" applyAlignment="1">
      <alignment horizontal="center"/>
    </xf>
    <xf numFmtId="168" fontId="1" fillId="0" borderId="13" xfId="2" applyNumberFormat="1" applyFont="1" applyBorder="1" applyAlignment="1">
      <alignment horizontal="center"/>
    </xf>
    <xf numFmtId="168" fontId="1" fillId="0" borderId="16" xfId="4" applyNumberFormat="1" applyFont="1" applyBorder="1" applyAlignment="1">
      <alignment horizontal="center"/>
    </xf>
    <xf numFmtId="0" fontId="3" fillId="0" borderId="9" xfId="2" applyFont="1" applyBorder="1"/>
    <xf numFmtId="164" fontId="1" fillId="0" borderId="10" xfId="4" applyNumberFormat="1" applyFont="1" applyBorder="1"/>
    <xf numFmtId="164" fontId="1" fillId="0" borderId="10" xfId="4" applyNumberFormat="1" applyFont="1" applyFill="1" applyBorder="1"/>
    <xf numFmtId="164" fontId="1" fillId="0" borderId="11" xfId="4" applyNumberFormat="1" applyFont="1" applyBorder="1"/>
    <xf numFmtId="2" fontId="0" fillId="0" borderId="0" xfId="0" applyNumberFormat="1" applyAlignment="1">
      <alignment horizontal="center"/>
    </xf>
    <xf numFmtId="0" fontId="23" fillId="3" borderId="4" xfId="2" applyFont="1" applyFill="1" applyBorder="1"/>
    <xf numFmtId="0" fontId="1" fillId="3" borderId="0" xfId="2" applyFont="1" applyFill="1" applyBorder="1"/>
    <xf numFmtId="0" fontId="1" fillId="3" borderId="5" xfId="2" applyFont="1" applyFill="1" applyBorder="1"/>
    <xf numFmtId="0" fontId="1" fillId="0" borderId="0" xfId="2" applyFont="1" applyBorder="1"/>
    <xf numFmtId="38" fontId="1" fillId="0" borderId="0" xfId="2" applyNumberFormat="1" applyFont="1" applyBorder="1"/>
    <xf numFmtId="38" fontId="1" fillId="0" borderId="5" xfId="2" applyNumberFormat="1" applyFont="1" applyBorder="1"/>
    <xf numFmtId="38" fontId="7" fillId="0" borderId="0" xfId="2" applyNumberFormat="1" applyFont="1" applyBorder="1"/>
    <xf numFmtId="38" fontId="7" fillId="0" borderId="5" xfId="2" applyNumberFormat="1" applyFont="1" applyBorder="1"/>
    <xf numFmtId="0" fontId="3" fillId="0" borderId="0" xfId="2" applyFont="1" applyBorder="1"/>
    <xf numFmtId="38" fontId="3" fillId="0" borderId="0" xfId="2" applyNumberFormat="1" applyFont="1" applyBorder="1"/>
    <xf numFmtId="38" fontId="3" fillId="0" borderId="5" xfId="2" applyNumberFormat="1" applyFont="1" applyBorder="1"/>
    <xf numFmtId="0" fontId="55" fillId="0" borderId="4" xfId="2" applyFont="1" applyBorder="1"/>
    <xf numFmtId="10" fontId="3" fillId="0" borderId="0" xfId="2" applyNumberFormat="1" applyFont="1" applyBorder="1"/>
    <xf numFmtId="164" fontId="3" fillId="0" borderId="7" xfId="3" applyNumberFormat="1" applyFont="1" applyFill="1" applyBorder="1"/>
    <xf numFmtId="0" fontId="3" fillId="0" borderId="7" xfId="2" applyFont="1" applyFill="1" applyBorder="1"/>
    <xf numFmtId="0" fontId="55" fillId="0" borderId="0" xfId="2" applyFont="1" applyAlignment="1">
      <alignment horizontal="center"/>
    </xf>
    <xf numFmtId="0" fontId="55" fillId="0" borderId="5" xfId="2" applyFont="1" applyBorder="1" applyAlignment="1">
      <alignment horizontal="center"/>
    </xf>
    <xf numFmtId="0" fontId="14" fillId="0" borderId="4" xfId="2" applyFont="1" applyBorder="1"/>
    <xf numFmtId="0" fontId="27" fillId="7" borderId="1" xfId="2" applyFont="1" applyFill="1" applyBorder="1" applyAlignment="1">
      <alignment wrapText="1"/>
    </xf>
    <xf numFmtId="0" fontId="27" fillId="7" borderId="2" xfId="2" applyFont="1" applyFill="1" applyBorder="1" applyAlignment="1">
      <alignment horizontal="center" wrapText="1"/>
    </xf>
    <xf numFmtId="0" fontId="27" fillId="7" borderId="3" xfId="2" applyFont="1" applyFill="1" applyBorder="1" applyAlignment="1">
      <alignment horizontal="center" wrapText="1"/>
    </xf>
    <xf numFmtId="0" fontId="29" fillId="0" borderId="4" xfId="2" applyFont="1" applyBorder="1" applyAlignment="1">
      <alignment wrapText="1"/>
    </xf>
    <xf numFmtId="10" fontId="29" fillId="0" borderId="5" xfId="5" applyNumberFormat="1" applyFont="1" applyBorder="1" applyAlignment="1">
      <alignment wrapText="1"/>
    </xf>
    <xf numFmtId="0" fontId="29" fillId="0" borderId="0" xfId="2" applyFont="1" applyBorder="1" applyAlignment="1">
      <alignment wrapText="1"/>
    </xf>
    <xf numFmtId="172" fontId="29" fillId="0" borderId="0" xfId="2" applyNumberFormat="1" applyFont="1" applyBorder="1" applyAlignment="1">
      <alignment wrapText="1"/>
    </xf>
    <xf numFmtId="172" fontId="29" fillId="0" borderId="5" xfId="2" applyNumberFormat="1" applyFont="1" applyBorder="1" applyAlignment="1">
      <alignment wrapText="1"/>
    </xf>
    <xf numFmtId="175" fontId="29" fillId="0" borderId="0" xfId="2" applyNumberFormat="1" applyFont="1" applyBorder="1" applyAlignment="1">
      <alignment wrapText="1"/>
    </xf>
    <xf numFmtId="175" fontId="29" fillId="0" borderId="5" xfId="2" applyNumberFormat="1" applyFont="1" applyBorder="1" applyAlignment="1">
      <alignment wrapText="1"/>
    </xf>
    <xf numFmtId="2" fontId="30" fillId="8" borderId="0" xfId="2" applyNumberFormat="1" applyFont="1" applyFill="1" applyBorder="1" applyAlignment="1">
      <alignment wrapText="1"/>
    </xf>
    <xf numFmtId="0" fontId="29" fillId="0" borderId="6" xfId="2" applyFont="1" applyBorder="1" applyAlignment="1">
      <alignment wrapText="1"/>
    </xf>
    <xf numFmtId="0" fontId="29" fillId="0" borderId="7" xfId="2" applyFont="1" applyBorder="1" applyAlignment="1">
      <alignment wrapText="1"/>
    </xf>
    <xf numFmtId="174" fontId="29" fillId="0" borderId="7" xfId="2" applyNumberFormat="1" applyFont="1" applyBorder="1" applyAlignment="1">
      <alignment wrapText="1"/>
    </xf>
    <xf numFmtId="174" fontId="29" fillId="0" borderId="8" xfId="2" applyNumberFormat="1" applyFont="1" applyBorder="1" applyAlignment="1">
      <alignment wrapText="1"/>
    </xf>
    <xf numFmtId="2" fontId="29" fillId="0" borderId="0" xfId="2" applyNumberFormat="1" applyFont="1" applyFill="1" applyBorder="1" applyAlignment="1">
      <alignment wrapText="1"/>
    </xf>
    <xf numFmtId="0" fontId="30" fillId="8" borderId="4" xfId="2" applyFont="1" applyFill="1" applyBorder="1" applyAlignment="1">
      <alignment wrapText="1"/>
    </xf>
    <xf numFmtId="0" fontId="56" fillId="2" borderId="28" xfId="2" applyFont="1" applyFill="1" applyBorder="1" applyAlignment="1">
      <alignment horizontal="center" readingOrder="1"/>
    </xf>
    <xf numFmtId="0" fontId="56" fillId="2" borderId="28" xfId="6" applyFont="1" applyFill="1" applyBorder="1" applyAlignment="1">
      <alignment horizontal="center" vertical="center"/>
    </xf>
    <xf numFmtId="0" fontId="57" fillId="2" borderId="32" xfId="2" applyFont="1" applyFill="1" applyBorder="1" applyAlignment="1">
      <alignment horizontal="left" readingOrder="1"/>
    </xf>
    <xf numFmtId="0" fontId="58" fillId="2" borderId="2" xfId="6" applyFont="1" applyFill="1" applyBorder="1" applyAlignment="1">
      <alignment horizontal="center" vertical="top"/>
    </xf>
    <xf numFmtId="0" fontId="58" fillId="2" borderId="1" xfId="6" applyFont="1" applyFill="1" applyBorder="1" applyAlignment="1">
      <alignment horizontal="center"/>
    </xf>
    <xf numFmtId="0" fontId="58" fillId="2" borderId="3" xfId="6" applyFont="1" applyFill="1" applyBorder="1" applyAlignment="1">
      <alignment horizontal="center"/>
    </xf>
    <xf numFmtId="0" fontId="57" fillId="2" borderId="3" xfId="2" applyFont="1" applyFill="1" applyBorder="1" applyAlignment="1">
      <alignment horizontal="center" readingOrder="1"/>
    </xf>
    <xf numFmtId="0" fontId="59" fillId="5" borderId="46" xfId="2" applyFont="1" applyFill="1" applyBorder="1" applyAlignment="1">
      <alignment horizontal="left" wrapText="1" readingOrder="1"/>
    </xf>
    <xf numFmtId="3" fontId="60" fillId="5" borderId="10" xfId="2" applyNumberFormat="1" applyFont="1" applyFill="1" applyBorder="1" applyAlignment="1">
      <alignment horizontal="center" readingOrder="1"/>
    </xf>
    <xf numFmtId="3" fontId="59" fillId="5" borderId="41" xfId="2" applyNumberFormat="1" applyFont="1" applyFill="1" applyBorder="1" applyAlignment="1">
      <alignment horizontal="center" wrapText="1" readingOrder="1"/>
    </xf>
    <xf numFmtId="0" fontId="59" fillId="0" borderId="47" xfId="2" applyFont="1" applyFill="1" applyBorder="1" applyAlignment="1">
      <alignment horizontal="left" wrapText="1" readingOrder="1"/>
    </xf>
    <xf numFmtId="3" fontId="60" fillId="0" borderId="15" xfId="2" applyNumberFormat="1" applyFont="1" applyFill="1" applyBorder="1" applyAlignment="1">
      <alignment horizontal="center" wrapText="1" readingOrder="1"/>
    </xf>
    <xf numFmtId="3" fontId="59" fillId="0" borderId="43" xfId="2" applyNumberFormat="1" applyFont="1" applyFill="1" applyBorder="1" applyAlignment="1">
      <alignment horizontal="center" readingOrder="1"/>
    </xf>
    <xf numFmtId="0" fontId="59" fillId="5" borderId="30" xfId="2" applyFont="1" applyFill="1" applyBorder="1" applyAlignment="1">
      <alignment horizontal="left" wrapText="1" readingOrder="1"/>
    </xf>
    <xf numFmtId="3" fontId="60" fillId="5" borderId="0" xfId="2" applyNumberFormat="1" applyFont="1" applyFill="1" applyBorder="1" applyAlignment="1">
      <alignment horizontal="center" readingOrder="1"/>
    </xf>
    <xf numFmtId="3" fontId="59" fillId="5" borderId="5" xfId="2" applyNumberFormat="1" applyFont="1" applyFill="1" applyBorder="1" applyAlignment="1">
      <alignment horizontal="center" readingOrder="1"/>
    </xf>
    <xf numFmtId="0" fontId="59" fillId="0" borderId="30" xfId="2" applyFont="1" applyFill="1" applyBorder="1" applyAlignment="1">
      <alignment horizontal="left" wrapText="1" readingOrder="1"/>
    </xf>
    <xf numFmtId="3" fontId="60" fillId="0" borderId="0" xfId="2" applyNumberFormat="1" applyFont="1" applyFill="1" applyBorder="1" applyAlignment="1">
      <alignment horizontal="center" readingOrder="1"/>
    </xf>
    <xf numFmtId="3" fontId="59" fillId="0" borderId="5" xfId="2" applyNumberFormat="1" applyFont="1" applyFill="1" applyBorder="1" applyAlignment="1">
      <alignment horizontal="center" readingOrder="1"/>
    </xf>
    <xf numFmtId="3" fontId="60" fillId="5" borderId="0" xfId="2" applyNumberFormat="1" applyFont="1" applyFill="1" applyBorder="1" applyAlignment="1">
      <alignment horizontal="center" wrapText="1" readingOrder="1"/>
    </xf>
    <xf numFmtId="0" fontId="59" fillId="0" borderId="48" xfId="2" applyFont="1" applyFill="1" applyBorder="1" applyAlignment="1">
      <alignment horizontal="left" wrapText="1" readingOrder="1"/>
    </xf>
    <xf numFmtId="10" fontId="59" fillId="0" borderId="45" xfId="2" applyNumberFormat="1" applyFont="1" applyFill="1" applyBorder="1" applyAlignment="1">
      <alignment horizontal="center" readingOrder="1"/>
    </xf>
    <xf numFmtId="10" fontId="60" fillId="5" borderId="10" xfId="2" applyNumberFormat="1" applyFont="1" applyFill="1" applyBorder="1" applyAlignment="1">
      <alignment horizontal="center" readingOrder="1"/>
    </xf>
    <xf numFmtId="10" fontId="59" fillId="5" borderId="41" xfId="2" applyNumberFormat="1" applyFont="1" applyFill="1" applyBorder="1" applyAlignment="1">
      <alignment horizontal="center" readingOrder="1"/>
    </xf>
    <xf numFmtId="10" fontId="59" fillId="0" borderId="43" xfId="2" applyNumberFormat="1" applyFont="1" applyFill="1" applyBorder="1" applyAlignment="1">
      <alignment horizontal="center" readingOrder="1"/>
    </xf>
    <xf numFmtId="3" fontId="62" fillId="0" borderId="0" xfId="2" applyNumberFormat="1" applyFont="1" applyFill="1" applyBorder="1" applyAlignment="1">
      <alignment horizontal="center" readingOrder="1"/>
    </xf>
    <xf numFmtId="3" fontId="59" fillId="5" borderId="5" xfId="10" applyNumberFormat="1" applyFont="1" applyFill="1" applyBorder="1" applyAlignment="1">
      <alignment horizontal="center" readingOrder="1"/>
    </xf>
    <xf numFmtId="3" fontId="63" fillId="5" borderId="0" xfId="2" applyNumberFormat="1" applyFont="1" applyFill="1" applyBorder="1" applyAlignment="1">
      <alignment horizontal="center" readingOrder="1"/>
    </xf>
    <xf numFmtId="10" fontId="59" fillId="0" borderId="5" xfId="2" applyNumberFormat="1" applyFont="1" applyFill="1" applyBorder="1" applyAlignment="1">
      <alignment horizontal="center" readingOrder="1"/>
    </xf>
    <xf numFmtId="0" fontId="59" fillId="5" borderId="47" xfId="2" applyFont="1" applyFill="1" applyBorder="1" applyAlignment="1">
      <alignment horizontal="left" wrapText="1" readingOrder="1"/>
    </xf>
    <xf numFmtId="10" fontId="59" fillId="5" borderId="43" xfId="2" applyNumberFormat="1" applyFont="1" applyFill="1" applyBorder="1" applyAlignment="1">
      <alignment horizontal="center" readingOrder="1"/>
    </xf>
    <xf numFmtId="8" fontId="60" fillId="0" borderId="0" xfId="2" applyNumberFormat="1" applyFont="1" applyFill="1" applyBorder="1" applyAlignment="1">
      <alignment horizontal="center" readingOrder="1"/>
    </xf>
    <xf numFmtId="8" fontId="59" fillId="0" borderId="5" xfId="2" applyNumberFormat="1" applyFont="1" applyFill="1" applyBorder="1" applyAlignment="1">
      <alignment horizontal="center" readingOrder="1"/>
    </xf>
    <xf numFmtId="168" fontId="60" fillId="5" borderId="0" xfId="2" applyNumberFormat="1" applyFont="1" applyFill="1" applyBorder="1" applyAlignment="1">
      <alignment horizontal="center" readingOrder="1"/>
    </xf>
    <xf numFmtId="168" fontId="59" fillId="5" borderId="5" xfId="2" applyNumberFormat="1" applyFont="1" applyFill="1" applyBorder="1" applyAlignment="1">
      <alignment horizontal="center" readingOrder="1"/>
    </xf>
    <xf numFmtId="10" fontId="59" fillId="5" borderId="5" xfId="2" applyNumberFormat="1" applyFont="1" applyFill="1" applyBorder="1" applyAlignment="1">
      <alignment horizontal="center" readingOrder="1"/>
    </xf>
    <xf numFmtId="2" fontId="61" fillId="0" borderId="15" xfId="2" applyNumberFormat="1" applyFont="1" applyFill="1" applyBorder="1" applyAlignment="1">
      <alignment horizontal="center" readingOrder="1"/>
    </xf>
    <xf numFmtId="164" fontId="64" fillId="5" borderId="4" xfId="6" applyNumberFormat="1" applyFont="1" applyFill="1" applyBorder="1" applyAlignment="1">
      <alignment horizontal="center"/>
    </xf>
    <xf numFmtId="164" fontId="64" fillId="5" borderId="5" xfId="6" applyNumberFormat="1" applyFont="1" applyFill="1" applyBorder="1" applyAlignment="1">
      <alignment horizontal="center"/>
    </xf>
    <xf numFmtId="164" fontId="64" fillId="0" borderId="4" xfId="6" applyNumberFormat="1" applyFont="1" applyFill="1" applyBorder="1" applyAlignment="1">
      <alignment horizontal="center"/>
    </xf>
    <xf numFmtId="164" fontId="64" fillId="0" borderId="5" xfId="6" applyNumberFormat="1" applyFont="1" applyFill="1" applyBorder="1" applyAlignment="1">
      <alignment horizontal="center"/>
    </xf>
    <xf numFmtId="0" fontId="59" fillId="0" borderId="31" xfId="2" applyFont="1" applyFill="1" applyBorder="1" applyAlignment="1">
      <alignment horizontal="left" wrapText="1" readingOrder="1"/>
    </xf>
    <xf numFmtId="164" fontId="64" fillId="0" borderId="6" xfId="6" applyNumberFormat="1" applyFont="1" applyFill="1" applyBorder="1" applyAlignment="1">
      <alignment horizontal="center"/>
    </xf>
    <xf numFmtId="164" fontId="64" fillId="0" borderId="8" xfId="6" applyNumberFormat="1" applyFont="1" applyFill="1" applyBorder="1" applyAlignment="1">
      <alignment horizontal="center"/>
    </xf>
    <xf numFmtId="10" fontId="59" fillId="0" borderId="8" xfId="2" applyNumberFormat="1" applyFont="1" applyFill="1" applyBorder="1" applyAlignment="1">
      <alignment horizontal="center" readingOrder="1"/>
    </xf>
    <xf numFmtId="0" fontId="37" fillId="5" borderId="30" xfId="6" applyFont="1" applyFill="1" applyBorder="1" applyAlignment="1">
      <alignment horizontal="left" wrapText="1"/>
    </xf>
    <xf numFmtId="0" fontId="37" fillId="0" borderId="30" xfId="6" applyFont="1" applyFill="1" applyBorder="1" applyAlignment="1">
      <alignment horizontal="left" wrapText="1"/>
    </xf>
    <xf numFmtId="168" fontId="37" fillId="0" borderId="30" xfId="6" applyNumberFormat="1" applyFont="1" applyFill="1" applyBorder="1" applyAlignment="1">
      <alignment horizontal="left" wrapText="1"/>
    </xf>
    <xf numFmtId="0" fontId="56" fillId="2" borderId="29" xfId="6" applyFont="1" applyFill="1" applyBorder="1" applyAlignment="1">
      <alignment horizontal="center" vertical="top"/>
    </xf>
    <xf numFmtId="0" fontId="56" fillId="2" borderId="26" xfId="6" applyFont="1" applyFill="1" applyBorder="1" applyAlignment="1">
      <alignment horizontal="center"/>
    </xf>
    <xf numFmtId="0" fontId="56" fillId="2" borderId="27" xfId="6" applyFont="1" applyFill="1" applyBorder="1" applyAlignment="1">
      <alignment horizontal="center"/>
    </xf>
    <xf numFmtId="3" fontId="42" fillId="5" borderId="0" xfId="10" applyNumberFormat="1" applyFont="1" applyFill="1" applyBorder="1" applyAlignment="1">
      <alignment horizontal="center"/>
    </xf>
    <xf numFmtId="3" fontId="42" fillId="0" borderId="0" xfId="10" applyNumberFormat="1" applyFont="1" applyFill="1" applyBorder="1" applyAlignment="1">
      <alignment horizontal="center"/>
    </xf>
    <xf numFmtId="3" fontId="42" fillId="0" borderId="0" xfId="6" applyNumberFormat="1" applyFont="1" applyFill="1" applyBorder="1" applyAlignment="1">
      <alignment horizontal="center"/>
    </xf>
    <xf numFmtId="3" fontId="42" fillId="5" borderId="0" xfId="6" applyNumberFormat="1" applyFont="1" applyFill="1" applyBorder="1" applyAlignment="1">
      <alignment horizontal="center"/>
    </xf>
    <xf numFmtId="3" fontId="37" fillId="5" borderId="30" xfId="10" applyNumberFormat="1" applyFont="1" applyFill="1" applyBorder="1" applyAlignment="1">
      <alignment horizontal="center"/>
    </xf>
    <xf numFmtId="3" fontId="37" fillId="0" borderId="30" xfId="10" applyNumberFormat="1" applyFont="1" applyFill="1" applyBorder="1" applyAlignment="1">
      <alignment horizontal="center"/>
    </xf>
    <xf numFmtId="3" fontId="37" fillId="0" borderId="30" xfId="6" applyNumberFormat="1" applyFont="1" applyFill="1" applyBorder="1" applyAlignment="1">
      <alignment horizontal="center"/>
    </xf>
    <xf numFmtId="3" fontId="37" fillId="5" borderId="30" xfId="6" applyNumberFormat="1" applyFont="1" applyFill="1" applyBorder="1" applyAlignment="1">
      <alignment horizontal="center"/>
    </xf>
    <xf numFmtId="174" fontId="66" fillId="0" borderId="0" xfId="6" applyNumberFormat="1" applyFont="1" applyFill="1" applyBorder="1" applyAlignment="1">
      <alignment horizontal="center"/>
    </xf>
    <xf numFmtId="174" fontId="67" fillId="0" borderId="30" xfId="6" applyNumberFormat="1" applyFont="1" applyFill="1" applyBorder="1" applyAlignment="1">
      <alignment horizontal="center"/>
    </xf>
    <xf numFmtId="174" fontId="66" fillId="5" borderId="0" xfId="6" applyNumberFormat="1" applyFont="1" applyFill="1" applyBorder="1" applyAlignment="1">
      <alignment horizontal="center"/>
    </xf>
    <xf numFmtId="174" fontId="67" fillId="5" borderId="30" xfId="6" applyNumberFormat="1" applyFont="1" applyFill="1" applyBorder="1" applyAlignment="1">
      <alignment horizontal="center"/>
    </xf>
    <xf numFmtId="174" fontId="66" fillId="0" borderId="10" xfId="6" applyNumberFormat="1" applyFont="1" applyFill="1" applyBorder="1" applyAlignment="1">
      <alignment horizontal="center"/>
    </xf>
    <xf numFmtId="174" fontId="66" fillId="5" borderId="15" xfId="6" applyNumberFormat="1" applyFont="1" applyFill="1" applyBorder="1" applyAlignment="1">
      <alignment horizontal="center"/>
    </xf>
    <xf numFmtId="167" fontId="65" fillId="5" borderId="36" xfId="9" applyNumberFormat="1" applyFont="1" applyFill="1" applyBorder="1" applyAlignment="1">
      <alignment horizontal="center"/>
    </xf>
    <xf numFmtId="10" fontId="65" fillId="5" borderId="36" xfId="6" applyNumberFormat="1" applyFont="1" applyFill="1" applyBorder="1" applyAlignment="1">
      <alignment horizontal="center"/>
    </xf>
    <xf numFmtId="10" fontId="65" fillId="0" borderId="10" xfId="6" applyNumberFormat="1" applyFont="1" applyFill="1" applyBorder="1" applyAlignment="1">
      <alignment horizontal="center"/>
    </xf>
    <xf numFmtId="10" fontId="65" fillId="5" borderId="15" xfId="6" applyNumberFormat="1" applyFont="1" applyFill="1" applyBorder="1" applyAlignment="1">
      <alignment horizontal="center"/>
    </xf>
    <xf numFmtId="0" fontId="37" fillId="5" borderId="48" xfId="6" applyFont="1" applyFill="1" applyBorder="1" applyAlignment="1">
      <alignment horizontal="left" wrapText="1"/>
    </xf>
    <xf numFmtId="167" fontId="37" fillId="5" borderId="48" xfId="9" applyNumberFormat="1" applyFont="1" applyFill="1" applyBorder="1" applyAlignment="1">
      <alignment horizontal="center"/>
    </xf>
    <xf numFmtId="10" fontId="37" fillId="5" borderId="48" xfId="6" applyNumberFormat="1" applyFont="1" applyFill="1" applyBorder="1" applyAlignment="1">
      <alignment horizontal="center"/>
    </xf>
    <xf numFmtId="0" fontId="37" fillId="0" borderId="46" xfId="6" applyFont="1" applyFill="1" applyBorder="1" applyAlignment="1">
      <alignment horizontal="left" wrapText="1"/>
    </xf>
    <xf numFmtId="174" fontId="67" fillId="0" borderId="46" xfId="6" applyNumberFormat="1" applyFont="1" applyFill="1" applyBorder="1" applyAlignment="1">
      <alignment horizontal="center"/>
    </xf>
    <xf numFmtId="168" fontId="37" fillId="5" borderId="47" xfId="6" applyNumberFormat="1" applyFont="1" applyFill="1" applyBorder="1" applyAlignment="1">
      <alignment horizontal="left" wrapText="1"/>
    </xf>
    <xf numFmtId="174" fontId="67" fillId="5" borderId="47" xfId="6" applyNumberFormat="1" applyFont="1" applyFill="1" applyBorder="1" applyAlignment="1">
      <alignment horizontal="center"/>
    </xf>
    <xf numFmtId="10" fontId="37" fillId="0" borderId="46" xfId="6" applyNumberFormat="1" applyFont="1" applyFill="1" applyBorder="1" applyAlignment="1">
      <alignment horizontal="center"/>
    </xf>
    <xf numFmtId="0" fontId="37" fillId="5" borderId="47" xfId="6" applyFont="1" applyFill="1" applyBorder="1" applyAlignment="1">
      <alignment horizontal="left" wrapText="1"/>
    </xf>
    <xf numFmtId="10" fontId="37" fillId="5" borderId="47" xfId="6" applyNumberFormat="1" applyFont="1" applyFill="1" applyBorder="1" applyAlignment="1">
      <alignment horizontal="center"/>
    </xf>
    <xf numFmtId="0" fontId="37" fillId="0" borderId="49" xfId="6" applyFont="1" applyFill="1" applyBorder="1" applyAlignment="1">
      <alignment horizontal="left" wrapText="1"/>
    </xf>
    <xf numFmtId="10" fontId="65" fillId="0" borderId="50" xfId="6" applyNumberFormat="1" applyFont="1" applyFill="1" applyBorder="1" applyAlignment="1">
      <alignment horizontal="center"/>
    </xf>
    <xf numFmtId="10" fontId="37" fillId="0" borderId="49" xfId="6" applyNumberFormat="1" applyFont="1" applyFill="1" applyBorder="1" applyAlignment="1">
      <alignment horizontal="center"/>
    </xf>
    <xf numFmtId="10" fontId="68" fillId="5" borderId="0" xfId="2" applyNumberFormat="1" applyFont="1" applyFill="1" applyBorder="1" applyAlignment="1">
      <alignment horizontal="center" readingOrder="1"/>
    </xf>
    <xf numFmtId="10" fontId="68" fillId="0" borderId="0" xfId="2" applyNumberFormat="1" applyFont="1" applyFill="1" applyBorder="1" applyAlignment="1">
      <alignment horizontal="center" readingOrder="1"/>
    </xf>
    <xf numFmtId="10" fontId="68" fillId="5" borderId="15" xfId="2" applyNumberFormat="1" applyFont="1" applyFill="1" applyBorder="1" applyAlignment="1">
      <alignment horizontal="center" readingOrder="1"/>
    </xf>
    <xf numFmtId="10" fontId="68" fillId="0" borderId="36" xfId="2" applyNumberFormat="1" applyFont="1" applyFill="1" applyBorder="1" applyAlignment="1">
      <alignment horizontal="center" readingOrder="1"/>
    </xf>
    <xf numFmtId="10" fontId="68" fillId="0" borderId="15" xfId="2" applyNumberFormat="1" applyFont="1" applyFill="1" applyBorder="1" applyAlignment="1">
      <alignment horizontal="center" readingOrder="1"/>
    </xf>
    <xf numFmtId="3" fontId="61" fillId="5" borderId="0" xfId="10" applyNumberFormat="1" applyFont="1" applyFill="1" applyBorder="1" applyAlignment="1">
      <alignment horizontal="center" vertical="center" readingOrder="1"/>
    </xf>
    <xf numFmtId="3" fontId="59" fillId="5" borderId="5" xfId="10" applyNumberFormat="1" applyFont="1" applyFill="1" applyBorder="1" applyAlignment="1">
      <alignment horizontal="center" vertical="center" readingOrder="1"/>
    </xf>
    <xf numFmtId="174" fontId="69" fillId="5" borderId="10" xfId="2" applyNumberFormat="1" applyFont="1" applyFill="1" applyBorder="1" applyAlignment="1">
      <alignment horizontal="center" readingOrder="1"/>
    </xf>
    <xf numFmtId="0" fontId="70" fillId="5" borderId="41" xfId="2" applyFont="1" applyFill="1" applyBorder="1" applyAlignment="1">
      <alignment horizontal="center" readingOrder="1"/>
    </xf>
    <xf numFmtId="174" fontId="69" fillId="0" borderId="0" xfId="2" applyNumberFormat="1" applyFont="1" applyFill="1" applyBorder="1" applyAlignment="1">
      <alignment horizontal="center" readingOrder="1"/>
    </xf>
    <xf numFmtId="0" fontId="70" fillId="0" borderId="5" xfId="2" applyFont="1" applyFill="1" applyBorder="1" applyAlignment="1">
      <alignment horizontal="center" readingOrder="1"/>
    </xf>
    <xf numFmtId="10" fontId="68" fillId="0" borderId="7" xfId="2" applyNumberFormat="1" applyFont="1" applyFill="1" applyBorder="1" applyAlignment="1">
      <alignment horizontal="center" readingOrder="1"/>
    </xf>
    <xf numFmtId="3" fontId="61" fillId="5" borderId="0" xfId="2" applyNumberFormat="1" applyFont="1" applyFill="1" applyBorder="1" applyAlignment="1">
      <alignment horizontal="center" readingOrder="1"/>
    </xf>
    <xf numFmtId="10" fontId="68" fillId="5" borderId="10" xfId="2" applyNumberFormat="1" applyFont="1" applyFill="1" applyBorder="1" applyAlignment="1">
      <alignment horizontal="center" readingOrder="1"/>
    </xf>
    <xf numFmtId="172" fontId="69" fillId="5" borderId="0" xfId="2" applyNumberFormat="1" applyFont="1" applyFill="1" applyBorder="1" applyAlignment="1">
      <alignment horizontal="center" readingOrder="1"/>
    </xf>
    <xf numFmtId="172" fontId="69" fillId="0" borderId="0" xfId="2" applyNumberFormat="1" applyFont="1" applyFill="1" applyBorder="1" applyAlignment="1">
      <alignment horizontal="center" readingOrder="1"/>
    </xf>
    <xf numFmtId="172" fontId="70" fillId="5" borderId="5" xfId="2" applyNumberFormat="1" applyFont="1" applyFill="1" applyBorder="1" applyAlignment="1">
      <alignment horizontal="center" readingOrder="1"/>
    </xf>
    <xf numFmtId="172" fontId="70" fillId="0" borderId="5" xfId="2" applyNumberFormat="1" applyFont="1" applyFill="1" applyBorder="1" applyAlignment="1">
      <alignment horizontal="center" readingOrder="1"/>
    </xf>
    <xf numFmtId="3" fontId="71" fillId="5" borderId="40" xfId="7" applyNumberFormat="1" applyFont="1" applyFill="1" applyBorder="1" applyAlignment="1">
      <alignment horizontal="center"/>
    </xf>
    <xf numFmtId="3" fontId="71" fillId="5" borderId="41" xfId="9" applyNumberFormat="1" applyFont="1" applyFill="1" applyBorder="1" applyAlignment="1">
      <alignment horizontal="center"/>
    </xf>
    <xf numFmtId="3" fontId="71" fillId="0" borderId="42" xfId="7" applyNumberFormat="1" applyFont="1" applyFill="1" applyBorder="1" applyAlignment="1">
      <alignment horizontal="center"/>
    </xf>
    <xf numFmtId="3" fontId="71" fillId="0" borderId="43" xfId="9" applyNumberFormat="1" applyFont="1" applyFill="1" applyBorder="1" applyAlignment="1">
      <alignment horizontal="center"/>
    </xf>
    <xf numFmtId="3" fontId="71" fillId="5" borderId="4" xfId="8" applyNumberFormat="1" applyFont="1" applyFill="1" applyBorder="1" applyAlignment="1">
      <alignment horizontal="center"/>
    </xf>
    <xf numFmtId="3" fontId="71" fillId="5" borderId="5" xfId="8" applyNumberFormat="1" applyFont="1" applyFill="1" applyBorder="1" applyAlignment="1">
      <alignment horizontal="center"/>
    </xf>
    <xf numFmtId="3" fontId="71" fillId="0" borderId="4" xfId="8" applyNumberFormat="1" applyFont="1" applyFill="1" applyBorder="1" applyAlignment="1">
      <alignment horizontal="center"/>
    </xf>
    <xf numFmtId="3" fontId="71" fillId="0" borderId="5" xfId="8" applyNumberFormat="1" applyFont="1" applyFill="1" applyBorder="1" applyAlignment="1">
      <alignment horizontal="center"/>
    </xf>
    <xf numFmtId="167" fontId="71" fillId="0" borderId="44" xfId="9" applyNumberFormat="1" applyFont="1" applyFill="1" applyBorder="1" applyAlignment="1">
      <alignment horizontal="center"/>
    </xf>
    <xf numFmtId="167" fontId="71" fillId="0" borderId="45" xfId="9" applyNumberFormat="1" applyFont="1" applyFill="1" applyBorder="1" applyAlignment="1">
      <alignment horizontal="center"/>
    </xf>
    <xf numFmtId="3" fontId="71" fillId="5" borderId="4" xfId="9" applyNumberFormat="1" applyFont="1" applyFill="1" applyBorder="1" applyAlignment="1">
      <alignment horizontal="center"/>
    </xf>
    <xf numFmtId="3" fontId="71" fillId="5" borderId="5" xfId="9" applyNumberFormat="1" applyFont="1" applyFill="1" applyBorder="1" applyAlignment="1">
      <alignment horizontal="center"/>
    </xf>
    <xf numFmtId="3" fontId="71" fillId="0" borderId="4" xfId="9" applyNumberFormat="1" applyFont="1" applyFill="1" applyBorder="1" applyAlignment="1">
      <alignment horizontal="center"/>
    </xf>
    <xf numFmtId="3" fontId="71" fillId="0" borderId="5" xfId="7" applyNumberFormat="1" applyFont="1" applyFill="1" applyBorder="1" applyAlignment="1">
      <alignment horizontal="center"/>
    </xf>
    <xf numFmtId="167" fontId="71" fillId="5" borderId="40" xfId="9" applyNumberFormat="1" applyFont="1" applyFill="1" applyBorder="1" applyAlignment="1">
      <alignment horizontal="center"/>
    </xf>
    <xf numFmtId="167" fontId="71" fillId="5" borderId="41" xfId="7" applyNumberFormat="1" applyFont="1" applyFill="1" applyBorder="1" applyAlignment="1">
      <alignment horizontal="center"/>
    </xf>
    <xf numFmtId="167" fontId="71" fillId="0" borderId="42" xfId="9" applyNumberFormat="1" applyFont="1" applyFill="1" applyBorder="1" applyAlignment="1">
      <alignment horizontal="center"/>
    </xf>
    <xf numFmtId="167" fontId="71" fillId="0" borderId="43" xfId="7" applyNumberFormat="1" applyFont="1" applyFill="1" applyBorder="1" applyAlignment="1">
      <alignment horizontal="center"/>
    </xf>
    <xf numFmtId="10" fontId="71" fillId="0" borderId="44" xfId="7" applyNumberFormat="1" applyFont="1" applyFill="1" applyBorder="1" applyAlignment="1">
      <alignment horizontal="center"/>
    </xf>
    <xf numFmtId="10" fontId="71" fillId="0" borderId="45" xfId="7" applyNumberFormat="1" applyFont="1" applyFill="1" applyBorder="1" applyAlignment="1">
      <alignment horizontal="center"/>
    </xf>
    <xf numFmtId="3" fontId="71" fillId="5" borderId="4" xfId="10" applyNumberFormat="1" applyFont="1" applyFill="1" applyBorder="1" applyAlignment="1">
      <alignment horizontal="center" vertical="center"/>
    </xf>
    <xf numFmtId="3" fontId="71" fillId="5" borderId="5" xfId="10" applyNumberFormat="1" applyFont="1" applyFill="1" applyBorder="1" applyAlignment="1">
      <alignment horizontal="center" vertical="center"/>
    </xf>
    <xf numFmtId="10" fontId="71" fillId="5" borderId="40" xfId="8" applyNumberFormat="1" applyFont="1" applyFill="1" applyBorder="1" applyAlignment="1">
      <alignment horizontal="center"/>
    </xf>
    <xf numFmtId="10" fontId="71" fillId="5" borderId="41" xfId="8" applyNumberFormat="1" applyFont="1" applyFill="1" applyBorder="1" applyAlignment="1">
      <alignment horizontal="center"/>
    </xf>
    <xf numFmtId="10" fontId="71" fillId="0" borderId="4" xfId="8" applyNumberFormat="1" applyFont="1" applyFill="1" applyBorder="1" applyAlignment="1">
      <alignment horizontal="center"/>
    </xf>
    <xf numFmtId="10" fontId="71" fillId="0" borderId="5" xfId="8" applyNumberFormat="1" applyFont="1" applyFill="1" applyBorder="1" applyAlignment="1">
      <alignment horizontal="center"/>
    </xf>
    <xf numFmtId="10" fontId="71" fillId="5" borderId="42" xfId="8" applyNumberFormat="1" applyFont="1" applyFill="1" applyBorder="1" applyAlignment="1">
      <alignment horizontal="center"/>
    </xf>
    <xf numFmtId="10" fontId="71" fillId="5" borderId="43" xfId="8" applyNumberFormat="1" applyFont="1" applyFill="1" applyBorder="1" applyAlignment="1">
      <alignment horizontal="center"/>
    </xf>
    <xf numFmtId="168" fontId="71" fillId="0" borderId="4" xfId="9" applyNumberFormat="1" applyFont="1" applyFill="1" applyBorder="1" applyAlignment="1">
      <alignment horizontal="center"/>
    </xf>
    <xf numFmtId="168" fontId="71" fillId="0" borderId="5" xfId="9" applyNumberFormat="1" applyFont="1" applyFill="1" applyBorder="1" applyAlignment="1">
      <alignment horizontal="center"/>
    </xf>
    <xf numFmtId="168" fontId="71" fillId="5" borderId="4" xfId="9" applyNumberFormat="1" applyFont="1" applyFill="1" applyBorder="1" applyAlignment="1">
      <alignment horizontal="center"/>
    </xf>
    <xf numFmtId="168" fontId="71" fillId="5" borderId="5" xfId="9" applyNumberFormat="1" applyFont="1" applyFill="1" applyBorder="1" applyAlignment="1">
      <alignment horizontal="center"/>
    </xf>
    <xf numFmtId="168" fontId="71" fillId="0" borderId="4" xfId="8" applyNumberFormat="1" applyFont="1" applyFill="1" applyBorder="1" applyAlignment="1">
      <alignment horizontal="center"/>
    </xf>
    <xf numFmtId="168" fontId="71" fillId="0" borderId="5" xfId="8" applyNumberFormat="1" applyFont="1" applyFill="1" applyBorder="1" applyAlignment="1">
      <alignment horizontal="center"/>
    </xf>
    <xf numFmtId="168" fontId="72" fillId="5" borderId="40" xfId="8" applyNumberFormat="1" applyFont="1" applyFill="1" applyBorder="1" applyAlignment="1">
      <alignment horizontal="center"/>
    </xf>
    <xf numFmtId="168" fontId="72" fillId="5" borderId="41" xfId="8" applyNumberFormat="1" applyFont="1" applyFill="1" applyBorder="1" applyAlignment="1">
      <alignment horizontal="center"/>
    </xf>
    <xf numFmtId="168" fontId="72" fillId="0" borderId="4" xfId="8" applyNumberFormat="1" applyFont="1" applyFill="1" applyBorder="1" applyAlignment="1">
      <alignment horizontal="center"/>
    </xf>
    <xf numFmtId="168" fontId="72" fillId="0" borderId="5" xfId="8" applyNumberFormat="1" applyFont="1" applyFill="1" applyBorder="1" applyAlignment="1">
      <alignment horizontal="center"/>
    </xf>
    <xf numFmtId="10" fontId="71" fillId="5" borderId="4" xfId="8" applyNumberFormat="1" applyFont="1" applyFill="1" applyBorder="1" applyAlignment="1">
      <alignment horizontal="center"/>
    </xf>
    <xf numFmtId="10" fontId="71" fillId="5" borderId="5" xfId="8" applyNumberFormat="1" applyFont="1" applyFill="1" applyBorder="1" applyAlignment="1">
      <alignment horizontal="center"/>
    </xf>
    <xf numFmtId="2" fontId="71" fillId="0" borderId="42" xfId="8" applyNumberFormat="1" applyFont="1" applyFill="1" applyBorder="1" applyAlignment="1">
      <alignment horizontal="center"/>
    </xf>
    <xf numFmtId="2" fontId="71" fillId="0" borderId="43" xfId="8" applyNumberFormat="1" applyFont="1" applyFill="1" applyBorder="1" applyAlignment="1">
      <alignment horizontal="center"/>
    </xf>
    <xf numFmtId="3" fontId="73" fillId="5" borderId="4" xfId="10" applyNumberFormat="1" applyFont="1" applyFill="1" applyBorder="1" applyAlignment="1">
      <alignment horizontal="center"/>
    </xf>
    <xf numFmtId="3" fontId="73" fillId="5" borderId="5" xfId="10" applyNumberFormat="1" applyFont="1" applyFill="1" applyBorder="1" applyAlignment="1">
      <alignment horizontal="center"/>
    </xf>
    <xf numFmtId="3" fontId="73" fillId="0" borderId="4" xfId="10" applyNumberFormat="1" applyFont="1" applyFill="1" applyBorder="1" applyAlignment="1">
      <alignment horizontal="center"/>
    </xf>
    <xf numFmtId="3" fontId="73" fillId="0" borderId="5" xfId="10" applyNumberFormat="1" applyFont="1" applyFill="1" applyBorder="1" applyAlignment="1">
      <alignment horizontal="center"/>
    </xf>
    <xf numFmtId="167" fontId="73" fillId="5" borderId="44" xfId="9" applyNumberFormat="1" applyFont="1" applyFill="1" applyBorder="1" applyAlignment="1">
      <alignment horizontal="center"/>
    </xf>
    <xf numFmtId="10" fontId="73" fillId="5" borderId="45" xfId="9" applyNumberFormat="1" applyFont="1" applyFill="1" applyBorder="1" applyAlignment="1">
      <alignment horizontal="center"/>
    </xf>
    <xf numFmtId="3" fontId="73" fillId="0" borderId="4" xfId="9" applyNumberFormat="1" applyFont="1" applyFill="1" applyBorder="1" applyAlignment="1">
      <alignment horizontal="center"/>
    </xf>
    <xf numFmtId="3" fontId="73" fillId="0" borderId="5" xfId="9" applyNumberFormat="1" applyFont="1" applyFill="1" applyBorder="1" applyAlignment="1">
      <alignment horizontal="center"/>
    </xf>
    <xf numFmtId="168" fontId="74" fillId="0" borderId="40" xfId="9" applyNumberFormat="1" applyFont="1" applyFill="1" applyBorder="1" applyAlignment="1">
      <alignment horizontal="center"/>
    </xf>
    <xf numFmtId="168" fontId="74" fillId="0" borderId="41" xfId="9" applyNumberFormat="1" applyFont="1" applyFill="1" applyBorder="1" applyAlignment="1">
      <alignment horizontal="center"/>
    </xf>
    <xf numFmtId="174" fontId="74" fillId="5" borderId="4" xfId="9" applyNumberFormat="1" applyFont="1" applyFill="1" applyBorder="1" applyAlignment="1">
      <alignment horizontal="center"/>
    </xf>
    <xf numFmtId="174" fontId="74" fillId="5" borderId="5" xfId="9" applyNumberFormat="1" applyFont="1" applyFill="1" applyBorder="1" applyAlignment="1">
      <alignment horizontal="center"/>
    </xf>
    <xf numFmtId="174" fontId="74" fillId="0" borderId="4" xfId="9" applyNumberFormat="1" applyFont="1" applyFill="1" applyBorder="1" applyAlignment="1">
      <alignment horizontal="center"/>
    </xf>
    <xf numFmtId="174" fontId="74" fillId="0" borderId="5" xfId="9" applyNumberFormat="1" applyFont="1" applyFill="1" applyBorder="1" applyAlignment="1">
      <alignment horizontal="center"/>
    </xf>
    <xf numFmtId="174" fontId="74" fillId="5" borderId="42" xfId="9" applyNumberFormat="1" applyFont="1" applyFill="1" applyBorder="1" applyAlignment="1">
      <alignment horizontal="center"/>
    </xf>
    <xf numFmtId="174" fontId="74" fillId="5" borderId="43" xfId="9" applyNumberFormat="1" applyFont="1" applyFill="1" applyBorder="1" applyAlignment="1">
      <alignment horizontal="center"/>
    </xf>
    <xf numFmtId="167" fontId="73" fillId="0" borderId="40" xfId="9" applyNumberFormat="1" applyFont="1" applyFill="1" applyBorder="1" applyAlignment="1">
      <alignment horizontal="center"/>
    </xf>
    <xf numFmtId="10" fontId="73" fillId="0" borderId="41" xfId="9" applyNumberFormat="1" applyFont="1" applyFill="1" applyBorder="1" applyAlignment="1">
      <alignment horizontal="center"/>
    </xf>
    <xf numFmtId="167" fontId="73" fillId="5" borderId="42" xfId="9" applyNumberFormat="1" applyFont="1" applyFill="1" applyBorder="1" applyAlignment="1">
      <alignment horizontal="center"/>
    </xf>
    <xf numFmtId="10" fontId="73" fillId="5" borderId="43" xfId="9" applyNumberFormat="1" applyFont="1" applyFill="1" applyBorder="1" applyAlignment="1">
      <alignment horizontal="center"/>
    </xf>
    <xf numFmtId="3" fontId="73" fillId="5" borderId="4" xfId="9" applyNumberFormat="1" applyFont="1" applyFill="1" applyBorder="1" applyAlignment="1">
      <alignment horizontal="center"/>
    </xf>
    <xf numFmtId="3" fontId="73" fillId="5" borderId="5" xfId="9" applyNumberFormat="1" applyFont="1" applyFill="1" applyBorder="1" applyAlignment="1">
      <alignment horizontal="center"/>
    </xf>
    <xf numFmtId="167" fontId="73" fillId="0" borderId="51" xfId="9" applyNumberFormat="1" applyFont="1" applyFill="1" applyBorder="1" applyAlignment="1">
      <alignment horizontal="center"/>
    </xf>
    <xf numFmtId="10" fontId="73" fillId="0" borderId="52" xfId="9" applyNumberFormat="1" applyFont="1" applyFill="1" applyBorder="1" applyAlignment="1">
      <alignment horizontal="center"/>
    </xf>
    <xf numFmtId="0" fontId="52" fillId="2" borderId="28" xfId="0" applyFont="1" applyFill="1" applyBorder="1" applyAlignment="1">
      <alignment horizontal="center"/>
    </xf>
    <xf numFmtId="10" fontId="52" fillId="2" borderId="29" xfId="0" applyNumberFormat="1" applyFont="1" applyFill="1" applyBorder="1" applyAlignment="1">
      <alignment horizontal="center"/>
    </xf>
    <xf numFmtId="10" fontId="52" fillId="2" borderId="27" xfId="0" applyNumberFormat="1" applyFont="1" applyFill="1" applyBorder="1" applyAlignment="1">
      <alignment horizontal="center"/>
    </xf>
    <xf numFmtId="10" fontId="24" fillId="5" borderId="30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10" fontId="24" fillId="0" borderId="30" xfId="0" applyNumberFormat="1" applyFont="1" applyFill="1" applyBorder="1" applyAlignment="1">
      <alignment horizontal="center"/>
    </xf>
    <xf numFmtId="10" fontId="24" fillId="0" borderId="31" xfId="0" applyNumberFormat="1" applyFont="1" applyFill="1" applyBorder="1" applyAlignment="1">
      <alignment horizontal="center"/>
    </xf>
    <xf numFmtId="167" fontId="24" fillId="5" borderId="30" xfId="1" applyNumberFormat="1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14" fillId="5" borderId="0" xfId="0" applyNumberFormat="1" applyFont="1" applyFill="1" applyAlignment="1">
      <alignment horizontal="center"/>
    </xf>
    <xf numFmtId="167" fontId="24" fillId="0" borderId="31" xfId="1" applyNumberFormat="1" applyFont="1" applyFill="1" applyBorder="1" applyAlignment="1">
      <alignment horizontal="center"/>
    </xf>
    <xf numFmtId="167" fontId="24" fillId="0" borderId="30" xfId="1" applyNumberFormat="1" applyFont="1" applyFill="1" applyBorder="1" applyAlignment="1">
      <alignment horizontal="center"/>
    </xf>
    <xf numFmtId="2" fontId="52" fillId="2" borderId="28" xfId="0" applyNumberFormat="1" applyFont="1" applyFill="1" applyBorder="1" applyAlignment="1">
      <alignment horizontal="center"/>
    </xf>
    <xf numFmtId="10" fontId="52" fillId="2" borderId="29" xfId="1" applyNumberFormat="1" applyFont="1" applyFill="1" applyBorder="1" applyAlignment="1">
      <alignment horizontal="center"/>
    </xf>
    <xf numFmtId="10" fontId="52" fillId="2" borderId="27" xfId="1" applyNumberFormat="1" applyFont="1" applyFill="1" applyBorder="1" applyAlignment="1">
      <alignment horizontal="center"/>
    </xf>
  </cellXfs>
  <cellStyles count="11">
    <cellStyle name="Comma" xfId="10" builtinId="3"/>
    <cellStyle name="Comma 19" xfId="4" xr:uid="{DACD4B09-71DB-8047-A30B-B6FAE6CCABC7}"/>
    <cellStyle name="Comma 2" xfId="3" xr:uid="{5D9023E6-4163-9C48-962A-D5407BD68F75}"/>
    <cellStyle name="Comma 21" xfId="7" xr:uid="{161BA6DA-6027-3741-A222-8BAC9479ABF8}"/>
    <cellStyle name="Comma 3" xfId="8" xr:uid="{26383BE8-FC49-1C41-8BB9-F904AE7F0EFA}"/>
    <cellStyle name="Normal" xfId="0" builtinId="0"/>
    <cellStyle name="Normal 2" xfId="2" xr:uid="{EF217DCE-F48A-3A40-889D-89D1F2CCDAF8}"/>
    <cellStyle name="Normal 2 3" xfId="6" xr:uid="{54D915A7-65FB-7843-B279-DCC29B2F215D}"/>
    <cellStyle name="Percent" xfId="1" builtinId="5"/>
    <cellStyle name="Percent 16 2" xfId="9" xr:uid="{944262AC-ABE4-204A-B90F-871ED45DB7B2}"/>
    <cellStyle name="Percent 2" xfId="5" xr:uid="{03C2FD14-D695-8240-8AD7-DFABD68FA454}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76" formatCode="#,##0.0_);\(#,##0.0\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numFmt numFmtId="176" formatCode="#,##0.0_);\(#,##0.0\)"/>
      <alignment horizontal="center" vertical="bottom" textRotation="0" wrapText="0" indent="0" justifyLastLine="0" shrinkToFit="0" readingOrder="0"/>
    </dxf>
    <dxf>
      <numFmt numFmtId="176" formatCode="#,##0.0_);\(#,##0.0\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/>
              <a:t>Revenue Scale and Gross Margin Regime Reset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&amp; Graphs'!$J$15</c:f>
              <c:strCache>
                <c:ptCount val="1"/>
                <c:pt idx="0">
                  <c:v>Revenue ($B)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&amp; Graphs'!$I$16:$I$22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Graphs'!$J$16:$J$22</c:f>
              <c:numCache>
                <c:formatCode>General</c:formatCode>
                <c:ptCount val="7"/>
                <c:pt idx="0">
                  <c:v>25.1</c:v>
                </c:pt>
                <c:pt idx="1">
                  <c:v>32.9</c:v>
                </c:pt>
                <c:pt idx="2">
                  <c:v>42.7</c:v>
                </c:pt>
                <c:pt idx="3">
                  <c:v>51</c:v>
                </c:pt>
                <c:pt idx="4">
                  <c:v>54.3</c:v>
                </c:pt>
                <c:pt idx="5">
                  <c:v>57.1</c:v>
                </c:pt>
                <c:pt idx="6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3F43-ABB9-1A3DC6CB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633465919"/>
        <c:axId val="1616866687"/>
      </c:barChart>
      <c:lineChart>
        <c:grouping val="standard"/>
        <c:varyColors val="0"/>
        <c:ser>
          <c:idx val="1"/>
          <c:order val="1"/>
          <c:tx>
            <c:strRef>
              <c:f>'Tables &amp; Graphs'!$K$15</c:f>
              <c:strCache>
                <c:ptCount val="1"/>
                <c:pt idx="0">
                  <c:v>Gross Margin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'Tables &amp; Graphs'!$I$16:$I$22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Graphs'!$K$16:$K$22</c:f>
              <c:numCache>
                <c:formatCode>0%</c:formatCode>
                <c:ptCount val="7"/>
                <c:pt idx="0">
                  <c:v>0.224</c:v>
                </c:pt>
                <c:pt idx="1">
                  <c:v>0.52</c:v>
                </c:pt>
                <c:pt idx="2">
                  <c:v>0.53</c:v>
                </c:pt>
                <c:pt idx="3">
                  <c:v>0.53</c:v>
                </c:pt>
                <c:pt idx="4">
                  <c:v>0.5</c:v>
                </c:pt>
                <c:pt idx="5">
                  <c:v>0.49</c:v>
                </c:pt>
                <c:pt idx="6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D-3F43-ABB9-1A3DC6CB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460543"/>
        <c:axId val="1633454271"/>
      </c:lineChart>
      <c:catAx>
        <c:axId val="163346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866687"/>
        <c:crosses val="autoZero"/>
        <c:auto val="1"/>
        <c:lblAlgn val="ctr"/>
        <c:lblOffset val="100"/>
        <c:noMultiLvlLbl val="0"/>
      </c:catAx>
      <c:valAx>
        <c:axId val="161686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465919"/>
        <c:crosses val="autoZero"/>
        <c:crossBetween val="between"/>
      </c:valAx>
      <c:valAx>
        <c:axId val="163345427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460543"/>
        <c:crosses val="max"/>
        <c:crossBetween val="between"/>
      </c:valAx>
      <c:catAx>
        <c:axId val="1633460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34542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78971040212473E-2"/>
          <c:y val="0.19675233304170317"/>
          <c:w val="0.60909669812266176"/>
          <c:h val="0.77546988918051907"/>
        </c:manualLayout>
      </c:layout>
      <c:pieChart>
        <c:varyColors val="1"/>
        <c:ser>
          <c:idx val="0"/>
          <c:order val="0"/>
          <c:tx>
            <c:strRef>
              <c:f>'Tables &amp; Graphs'!$D$5</c:f>
              <c:strCache>
                <c:ptCount val="1"/>
                <c:pt idx="0">
                  <c:v>Revenue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94-0446-B48B-0C544842C0C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794-0446-B48B-0C544842C0C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94-0446-B48B-0C544842C0C9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794-0446-B48B-0C544842C0C9}"/>
              </c:ext>
            </c:extLst>
          </c:dPt>
          <c:dLbls>
            <c:dLbl>
              <c:idx val="0"/>
              <c:layout>
                <c:manualLayout>
                  <c:x val="-0.20200912216774086"/>
                  <c:y val="7.51266922697333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94-0446-B48B-0C544842C0C9}"/>
                </c:ext>
              </c:extLst>
            </c:dLbl>
            <c:dLbl>
              <c:idx val="1"/>
              <c:layout>
                <c:manualLayout>
                  <c:x val="9.68894117445274E-3"/>
                  <c:y val="-0.180110279130640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94-0446-B48B-0C544842C0C9}"/>
                </c:ext>
              </c:extLst>
            </c:dLbl>
            <c:dLbl>
              <c:idx val="2"/>
              <c:layout>
                <c:manualLayout>
                  <c:x val="7.2819081943978306E-2"/>
                  <c:y val="-4.33924778476259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94-0446-B48B-0C544842C0C9}"/>
                </c:ext>
              </c:extLst>
            </c:dLbl>
            <c:dLbl>
              <c:idx val="3"/>
              <c:layout>
                <c:manualLayout>
                  <c:x val="0.13161344492611091"/>
                  <c:y val="0.1514776116200733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94-0446-B48B-0C544842C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'Tables &amp; Graphs'!$C$6:$C$9</c:f>
              <c:strCache>
                <c:ptCount val="4"/>
                <c:pt idx="0">
                  <c:v>CNBU</c:v>
                </c:pt>
                <c:pt idx="1">
                  <c:v>MBU</c:v>
                </c:pt>
                <c:pt idx="2">
                  <c:v>EBU</c:v>
                </c:pt>
                <c:pt idx="3">
                  <c:v>SBU</c:v>
                </c:pt>
              </c:strCache>
            </c:strRef>
          </c:cat>
          <c:val>
            <c:numRef>
              <c:f>'Tables &amp; Graphs'!$D$6:$D$9</c:f>
              <c:numCache>
                <c:formatCode>General</c:formatCode>
                <c:ptCount val="4"/>
                <c:pt idx="0">
                  <c:v>9513</c:v>
                </c:pt>
                <c:pt idx="1">
                  <c:v>6354</c:v>
                </c:pt>
                <c:pt idx="2">
                  <c:v>4614</c:v>
                </c:pt>
                <c:pt idx="3">
                  <c:v>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4-0446-B48B-0C544842C0C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2889850029478345"/>
          <c:y val="0.28703703703703703"/>
          <c:w val="0.22209095212957747"/>
          <c:h val="0.63193751822688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Operating Leverage as Margins Reset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&amp; Graphs'!$O$21</c:f>
              <c:strCache>
                <c:ptCount val="1"/>
                <c:pt idx="0">
                  <c:v>Revenue ($B)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&amp; Graphs'!$N$22:$N$28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Graphs'!$O$22:$O$28</c:f>
              <c:numCache>
                <c:formatCode>General</c:formatCode>
                <c:ptCount val="7"/>
                <c:pt idx="0">
                  <c:v>25.1</c:v>
                </c:pt>
                <c:pt idx="1">
                  <c:v>32.9</c:v>
                </c:pt>
                <c:pt idx="2">
                  <c:v>42.7</c:v>
                </c:pt>
                <c:pt idx="3">
                  <c:v>51</c:v>
                </c:pt>
                <c:pt idx="4">
                  <c:v>54.3</c:v>
                </c:pt>
                <c:pt idx="5">
                  <c:v>57.1</c:v>
                </c:pt>
                <c:pt idx="6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E-2E45-B98F-E82D4788B022}"/>
            </c:ext>
          </c:extLst>
        </c:ser>
        <c:ser>
          <c:idx val="1"/>
          <c:order val="1"/>
          <c:tx>
            <c:strRef>
              <c:f>'Tables &amp; Graphs'!$P$21</c:f>
              <c:strCache>
                <c:ptCount val="1"/>
                <c:pt idx="0">
                  <c:v>EBITDA ($B)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'Tables &amp; Graphs'!$N$22:$N$28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Graphs'!$P$22:$P$28</c:f>
              <c:numCache>
                <c:formatCode>General</c:formatCode>
                <c:ptCount val="7"/>
                <c:pt idx="0">
                  <c:v>9.1</c:v>
                </c:pt>
                <c:pt idx="1">
                  <c:v>19.100000000000001</c:v>
                </c:pt>
                <c:pt idx="2">
                  <c:v>25.3</c:v>
                </c:pt>
                <c:pt idx="3">
                  <c:v>29.1</c:v>
                </c:pt>
                <c:pt idx="4">
                  <c:v>29.6</c:v>
                </c:pt>
                <c:pt idx="5">
                  <c:v>32.4</c:v>
                </c:pt>
                <c:pt idx="6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E-2E45-B98F-E82D4788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1827455"/>
        <c:axId val="1681832831"/>
      </c:barChart>
      <c:lineChart>
        <c:grouping val="standard"/>
        <c:varyColors val="0"/>
        <c:ser>
          <c:idx val="2"/>
          <c:order val="2"/>
          <c:tx>
            <c:strRef>
              <c:f>'Tables &amp; Graphs'!$Q$21</c:f>
              <c:strCache>
                <c:ptCount val="1"/>
                <c:pt idx="0">
                  <c:v>EBITDA Margin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'Tables &amp; Graphs'!$N$22:$N$28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Graphs'!$Q$22:$Q$28</c:f>
              <c:numCache>
                <c:formatCode>0.0%</c:formatCode>
                <c:ptCount val="7"/>
                <c:pt idx="0">
                  <c:v>0.36199999999999999</c:v>
                </c:pt>
                <c:pt idx="1">
                  <c:v>0.58099999999999996</c:v>
                </c:pt>
                <c:pt idx="2">
                  <c:v>0.59299999999999997</c:v>
                </c:pt>
                <c:pt idx="3">
                  <c:v>0.56999999999999995</c:v>
                </c:pt>
                <c:pt idx="4">
                  <c:v>0.54600000000000004</c:v>
                </c:pt>
                <c:pt idx="5">
                  <c:v>0.56799999999999995</c:v>
                </c:pt>
                <c:pt idx="6">
                  <c:v>0.53500000000000003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E-2E45-B98F-E82D4788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649919"/>
        <c:axId val="1681651263"/>
      </c:lineChart>
      <c:catAx>
        <c:axId val="168182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832831"/>
        <c:crosses val="autoZero"/>
        <c:auto val="1"/>
        <c:lblAlgn val="ctr"/>
        <c:lblOffset val="100"/>
        <c:noMultiLvlLbl val="0"/>
      </c:catAx>
      <c:valAx>
        <c:axId val="168183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827455"/>
        <c:crosses val="autoZero"/>
        <c:crossBetween val="between"/>
      </c:valAx>
      <c:valAx>
        <c:axId val="1681651263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649919"/>
        <c:crosses val="max"/>
        <c:crossBetween val="between"/>
      </c:valAx>
      <c:catAx>
        <c:axId val="168164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16512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1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Cash Generation Versus Reinvestment</a:t>
            </a:r>
            <a:endParaRPr lang="en-US" sz="1100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6.5266841644794722E-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'Tables &amp; Graphs'!$P$8</c:f>
              <c:strCache>
                <c:ptCount val="1"/>
                <c:pt idx="0">
                  <c:v>Operating Cash Flow ($B)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'Tables &amp; Graphs'!$O$9:$O$15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Graphs'!$P$9:$P$15</c:f>
              <c:numCache>
                <c:formatCode>General</c:formatCode>
                <c:ptCount val="7"/>
                <c:pt idx="0">
                  <c:v>8.5</c:v>
                </c:pt>
                <c:pt idx="1">
                  <c:v>17</c:v>
                </c:pt>
                <c:pt idx="2">
                  <c:v>21.5</c:v>
                </c:pt>
                <c:pt idx="3">
                  <c:v>25.3</c:v>
                </c:pt>
                <c:pt idx="4">
                  <c:v>27.3</c:v>
                </c:pt>
                <c:pt idx="5">
                  <c:v>29.6</c:v>
                </c:pt>
                <c:pt idx="6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E443-B5DA-8AE658FF8886}"/>
            </c:ext>
          </c:extLst>
        </c:ser>
        <c:ser>
          <c:idx val="1"/>
          <c:order val="1"/>
          <c:tx>
            <c:strRef>
              <c:f>'Tables &amp; Graphs'!$Q$8</c:f>
              <c:strCache>
                <c:ptCount val="1"/>
                <c:pt idx="0">
                  <c:v>Capex Spending ($B)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'Tables &amp; Graphs'!$O$9:$O$15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Graphs'!$Q$9:$Q$15</c:f>
              <c:numCache>
                <c:formatCode>General</c:formatCode>
                <c:ptCount val="7"/>
                <c:pt idx="0">
                  <c:v>9.6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2-E443-B5DA-8AE658FF8886}"/>
            </c:ext>
          </c:extLst>
        </c:ser>
        <c:ser>
          <c:idx val="2"/>
          <c:order val="2"/>
          <c:tx>
            <c:strRef>
              <c:f>'Tables &amp; Graphs'!$R$8</c:f>
              <c:strCache>
                <c:ptCount val="1"/>
                <c:pt idx="0">
                  <c:v>Free Cash Flow ($B)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'Tables &amp; Graphs'!$O$9:$O$15</c:f>
              <c:strCache>
                <c:ptCount val="7"/>
                <c:pt idx="0">
                  <c:v>FY24A</c:v>
                </c:pt>
                <c:pt idx="1">
                  <c:v>FY25P</c:v>
                </c:pt>
                <c:pt idx="2">
                  <c:v>FY26P</c:v>
                </c:pt>
                <c:pt idx="3">
                  <c:v>FY27P</c:v>
                </c:pt>
                <c:pt idx="4">
                  <c:v>FY28P</c:v>
                </c:pt>
                <c:pt idx="5">
                  <c:v>FY29P</c:v>
                </c:pt>
                <c:pt idx="6">
                  <c:v>FY30P</c:v>
                </c:pt>
              </c:strCache>
            </c:strRef>
          </c:cat>
          <c:val>
            <c:numRef>
              <c:f>'Tables &amp; Graphs'!$R$9:$R$15</c:f>
              <c:numCache>
                <c:formatCode>General</c:formatCode>
                <c:ptCount val="7"/>
                <c:pt idx="0">
                  <c:v>-0.7</c:v>
                </c:pt>
                <c:pt idx="1">
                  <c:v>0.4</c:v>
                </c:pt>
                <c:pt idx="2">
                  <c:v>4.5999999999999996</c:v>
                </c:pt>
                <c:pt idx="3">
                  <c:v>8.1</c:v>
                </c:pt>
                <c:pt idx="4">
                  <c:v>9.8000000000000007</c:v>
                </c:pt>
                <c:pt idx="5">
                  <c:v>12.9</c:v>
                </c:pt>
                <c:pt idx="6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F2-E443-B5DA-8AE658FF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7975423"/>
        <c:axId val="1737972735"/>
      </c:barChart>
      <c:catAx>
        <c:axId val="173797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972735"/>
        <c:crosses val="autoZero"/>
        <c:auto val="1"/>
        <c:lblAlgn val="ctr"/>
        <c:lblOffset val="100"/>
        <c:noMultiLvlLbl val="0"/>
      </c:catAx>
      <c:valAx>
        <c:axId val="1737972735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97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48169591926889E-2"/>
          <c:y val="7.9604858682856453E-2"/>
          <c:w val="0.88279585887435208"/>
          <c:h val="0.78057799665022898"/>
        </c:manualLayout>
      </c:layout>
      <c:areaChart>
        <c:grouping val="standard"/>
        <c:varyColors val="0"/>
        <c:ser>
          <c:idx val="0"/>
          <c:order val="0"/>
          <c:tx>
            <c:strRef>
              <c:f>'Histroical preformance'!$B$1</c:f>
              <c:strCache>
                <c:ptCount val="1"/>
                <c:pt idx="0">
                  <c:v>Close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2857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cat>
            <c:numRef>
              <c:f>'Histroical preformance'!$A$2:$A$129</c:f>
              <c:numCache>
                <c:formatCode>d\-mmm\-yy</c:formatCode>
                <c:ptCount val="128"/>
                <c:pt idx="0">
                  <c:v>45919</c:v>
                </c:pt>
                <c:pt idx="1">
                  <c:v>45918</c:v>
                </c:pt>
                <c:pt idx="2">
                  <c:v>45917</c:v>
                </c:pt>
                <c:pt idx="3">
                  <c:v>45916</c:v>
                </c:pt>
                <c:pt idx="4">
                  <c:v>45915</c:v>
                </c:pt>
                <c:pt idx="5">
                  <c:v>45912</c:v>
                </c:pt>
                <c:pt idx="6">
                  <c:v>45911</c:v>
                </c:pt>
                <c:pt idx="7">
                  <c:v>45910</c:v>
                </c:pt>
                <c:pt idx="8">
                  <c:v>45909</c:v>
                </c:pt>
                <c:pt idx="9">
                  <c:v>45908</c:v>
                </c:pt>
                <c:pt idx="10">
                  <c:v>45905</c:v>
                </c:pt>
                <c:pt idx="11">
                  <c:v>45904</c:v>
                </c:pt>
                <c:pt idx="12">
                  <c:v>45903</c:v>
                </c:pt>
                <c:pt idx="13">
                  <c:v>45902</c:v>
                </c:pt>
                <c:pt idx="14">
                  <c:v>45898</c:v>
                </c:pt>
                <c:pt idx="15">
                  <c:v>45897</c:v>
                </c:pt>
                <c:pt idx="16">
                  <c:v>45896</c:v>
                </c:pt>
                <c:pt idx="17">
                  <c:v>45895</c:v>
                </c:pt>
                <c:pt idx="18">
                  <c:v>45894</c:v>
                </c:pt>
                <c:pt idx="19">
                  <c:v>45891</c:v>
                </c:pt>
                <c:pt idx="20">
                  <c:v>45890</c:v>
                </c:pt>
                <c:pt idx="21">
                  <c:v>45889</c:v>
                </c:pt>
                <c:pt idx="22">
                  <c:v>45888</c:v>
                </c:pt>
                <c:pt idx="23">
                  <c:v>45887</c:v>
                </c:pt>
                <c:pt idx="24">
                  <c:v>45884</c:v>
                </c:pt>
                <c:pt idx="25">
                  <c:v>45883</c:v>
                </c:pt>
                <c:pt idx="26">
                  <c:v>45882</c:v>
                </c:pt>
                <c:pt idx="27">
                  <c:v>45881</c:v>
                </c:pt>
                <c:pt idx="28">
                  <c:v>45880</c:v>
                </c:pt>
                <c:pt idx="29">
                  <c:v>45877</c:v>
                </c:pt>
                <c:pt idx="30">
                  <c:v>45876</c:v>
                </c:pt>
                <c:pt idx="31">
                  <c:v>45875</c:v>
                </c:pt>
                <c:pt idx="32">
                  <c:v>45874</c:v>
                </c:pt>
                <c:pt idx="33">
                  <c:v>45873</c:v>
                </c:pt>
                <c:pt idx="34">
                  <c:v>45870</c:v>
                </c:pt>
                <c:pt idx="35">
                  <c:v>45869</c:v>
                </c:pt>
                <c:pt idx="36">
                  <c:v>45868</c:v>
                </c:pt>
                <c:pt idx="37">
                  <c:v>45867</c:v>
                </c:pt>
                <c:pt idx="38">
                  <c:v>45866</c:v>
                </c:pt>
                <c:pt idx="39">
                  <c:v>45863</c:v>
                </c:pt>
                <c:pt idx="40">
                  <c:v>45862</c:v>
                </c:pt>
                <c:pt idx="41">
                  <c:v>45861</c:v>
                </c:pt>
                <c:pt idx="42">
                  <c:v>45860</c:v>
                </c:pt>
                <c:pt idx="43">
                  <c:v>45859</c:v>
                </c:pt>
                <c:pt idx="44">
                  <c:v>45856</c:v>
                </c:pt>
                <c:pt idx="45">
                  <c:v>45855</c:v>
                </c:pt>
                <c:pt idx="46">
                  <c:v>45854</c:v>
                </c:pt>
                <c:pt idx="47">
                  <c:v>45853</c:v>
                </c:pt>
                <c:pt idx="48">
                  <c:v>45852</c:v>
                </c:pt>
                <c:pt idx="49">
                  <c:v>45849</c:v>
                </c:pt>
                <c:pt idx="50">
                  <c:v>45848</c:v>
                </c:pt>
                <c:pt idx="51">
                  <c:v>45847</c:v>
                </c:pt>
                <c:pt idx="52">
                  <c:v>45846</c:v>
                </c:pt>
                <c:pt idx="53">
                  <c:v>45845</c:v>
                </c:pt>
                <c:pt idx="54">
                  <c:v>45841</c:v>
                </c:pt>
                <c:pt idx="55">
                  <c:v>45840</c:v>
                </c:pt>
                <c:pt idx="56">
                  <c:v>45839</c:v>
                </c:pt>
                <c:pt idx="57">
                  <c:v>45838</c:v>
                </c:pt>
                <c:pt idx="58">
                  <c:v>45835</c:v>
                </c:pt>
                <c:pt idx="59">
                  <c:v>45834</c:v>
                </c:pt>
                <c:pt idx="60">
                  <c:v>45833</c:v>
                </c:pt>
                <c:pt idx="61">
                  <c:v>45832</c:v>
                </c:pt>
                <c:pt idx="62">
                  <c:v>45831</c:v>
                </c:pt>
                <c:pt idx="63">
                  <c:v>45828</c:v>
                </c:pt>
                <c:pt idx="64">
                  <c:v>45826</c:v>
                </c:pt>
                <c:pt idx="65">
                  <c:v>45825</c:v>
                </c:pt>
                <c:pt idx="66">
                  <c:v>45824</c:v>
                </c:pt>
                <c:pt idx="67">
                  <c:v>45821</c:v>
                </c:pt>
                <c:pt idx="68">
                  <c:v>45820</c:v>
                </c:pt>
                <c:pt idx="69">
                  <c:v>45819</c:v>
                </c:pt>
                <c:pt idx="70">
                  <c:v>45818</c:v>
                </c:pt>
                <c:pt idx="71">
                  <c:v>45817</c:v>
                </c:pt>
                <c:pt idx="72">
                  <c:v>45814</c:v>
                </c:pt>
                <c:pt idx="73">
                  <c:v>45813</c:v>
                </c:pt>
                <c:pt idx="74">
                  <c:v>45812</c:v>
                </c:pt>
                <c:pt idx="75">
                  <c:v>45811</c:v>
                </c:pt>
                <c:pt idx="76">
                  <c:v>45810</c:v>
                </c:pt>
                <c:pt idx="77">
                  <c:v>45807</c:v>
                </c:pt>
                <c:pt idx="78">
                  <c:v>45806</c:v>
                </c:pt>
                <c:pt idx="79">
                  <c:v>45805</c:v>
                </c:pt>
                <c:pt idx="80">
                  <c:v>45804</c:v>
                </c:pt>
                <c:pt idx="81">
                  <c:v>45800</c:v>
                </c:pt>
                <c:pt idx="82">
                  <c:v>45799</c:v>
                </c:pt>
                <c:pt idx="83">
                  <c:v>45798</c:v>
                </c:pt>
                <c:pt idx="84">
                  <c:v>45797</c:v>
                </c:pt>
                <c:pt idx="85">
                  <c:v>45796</c:v>
                </c:pt>
                <c:pt idx="86">
                  <c:v>45793</c:v>
                </c:pt>
                <c:pt idx="87">
                  <c:v>45792</c:v>
                </c:pt>
                <c:pt idx="88">
                  <c:v>45791</c:v>
                </c:pt>
                <c:pt idx="89">
                  <c:v>45790</c:v>
                </c:pt>
                <c:pt idx="90">
                  <c:v>45789</c:v>
                </c:pt>
                <c:pt idx="91">
                  <c:v>45786</c:v>
                </c:pt>
                <c:pt idx="92">
                  <c:v>45785</c:v>
                </c:pt>
                <c:pt idx="93">
                  <c:v>45784</c:v>
                </c:pt>
                <c:pt idx="94">
                  <c:v>45783</c:v>
                </c:pt>
                <c:pt idx="95">
                  <c:v>45782</c:v>
                </c:pt>
                <c:pt idx="96">
                  <c:v>45779</c:v>
                </c:pt>
                <c:pt idx="97">
                  <c:v>45778</c:v>
                </c:pt>
                <c:pt idx="98">
                  <c:v>45777</c:v>
                </c:pt>
                <c:pt idx="99">
                  <c:v>45776</c:v>
                </c:pt>
                <c:pt idx="100">
                  <c:v>45775</c:v>
                </c:pt>
                <c:pt idx="101">
                  <c:v>45772</c:v>
                </c:pt>
                <c:pt idx="102">
                  <c:v>45771</c:v>
                </c:pt>
                <c:pt idx="103">
                  <c:v>45770</c:v>
                </c:pt>
                <c:pt idx="104">
                  <c:v>45769</c:v>
                </c:pt>
                <c:pt idx="105">
                  <c:v>45768</c:v>
                </c:pt>
                <c:pt idx="106">
                  <c:v>45764</c:v>
                </c:pt>
                <c:pt idx="107">
                  <c:v>45763</c:v>
                </c:pt>
                <c:pt idx="108">
                  <c:v>45762</c:v>
                </c:pt>
                <c:pt idx="109">
                  <c:v>45761</c:v>
                </c:pt>
                <c:pt idx="110">
                  <c:v>45758</c:v>
                </c:pt>
                <c:pt idx="111">
                  <c:v>45757</c:v>
                </c:pt>
                <c:pt idx="112">
                  <c:v>45756</c:v>
                </c:pt>
                <c:pt idx="113">
                  <c:v>45755</c:v>
                </c:pt>
                <c:pt idx="114">
                  <c:v>45754</c:v>
                </c:pt>
                <c:pt idx="115">
                  <c:v>45751</c:v>
                </c:pt>
                <c:pt idx="116">
                  <c:v>45750</c:v>
                </c:pt>
                <c:pt idx="117">
                  <c:v>45749</c:v>
                </c:pt>
                <c:pt idx="118">
                  <c:v>45748</c:v>
                </c:pt>
                <c:pt idx="119">
                  <c:v>45747</c:v>
                </c:pt>
                <c:pt idx="120">
                  <c:v>45744</c:v>
                </c:pt>
                <c:pt idx="121">
                  <c:v>45743</c:v>
                </c:pt>
                <c:pt idx="122">
                  <c:v>45742</c:v>
                </c:pt>
                <c:pt idx="123">
                  <c:v>45741</c:v>
                </c:pt>
                <c:pt idx="124">
                  <c:v>45740</c:v>
                </c:pt>
                <c:pt idx="125">
                  <c:v>45737</c:v>
                </c:pt>
                <c:pt idx="126">
                  <c:v>45736</c:v>
                </c:pt>
                <c:pt idx="127">
                  <c:v>45735</c:v>
                </c:pt>
              </c:numCache>
            </c:numRef>
          </c:cat>
          <c:val>
            <c:numRef>
              <c:f>'Histroical preformance'!$B$2:$B$129</c:f>
              <c:numCache>
                <c:formatCode>General</c:formatCode>
                <c:ptCount val="128"/>
                <c:pt idx="0">
                  <c:v>162.72999999999999</c:v>
                </c:pt>
                <c:pt idx="1">
                  <c:v>168.89</c:v>
                </c:pt>
                <c:pt idx="2">
                  <c:v>159.99</c:v>
                </c:pt>
                <c:pt idx="3">
                  <c:v>158.82</c:v>
                </c:pt>
                <c:pt idx="4">
                  <c:v>157.77000000000001</c:v>
                </c:pt>
                <c:pt idx="5">
                  <c:v>157.22999999999999</c:v>
                </c:pt>
                <c:pt idx="6">
                  <c:v>150.57</c:v>
                </c:pt>
                <c:pt idx="7">
                  <c:v>140</c:v>
                </c:pt>
                <c:pt idx="8">
                  <c:v>135.24</c:v>
                </c:pt>
                <c:pt idx="9">
                  <c:v>131.46</c:v>
                </c:pt>
                <c:pt idx="10">
                  <c:v>131.37</c:v>
                </c:pt>
                <c:pt idx="11">
                  <c:v>124.21</c:v>
                </c:pt>
                <c:pt idx="12">
                  <c:v>118.72</c:v>
                </c:pt>
                <c:pt idx="13">
                  <c:v>118.48</c:v>
                </c:pt>
                <c:pt idx="14">
                  <c:v>119.01</c:v>
                </c:pt>
                <c:pt idx="15">
                  <c:v>122</c:v>
                </c:pt>
                <c:pt idx="16">
                  <c:v>117.75</c:v>
                </c:pt>
                <c:pt idx="17">
                  <c:v>116.5</c:v>
                </c:pt>
                <c:pt idx="18">
                  <c:v>116.42</c:v>
                </c:pt>
                <c:pt idx="19">
                  <c:v>117.68</c:v>
                </c:pt>
                <c:pt idx="20">
                  <c:v>115.79</c:v>
                </c:pt>
                <c:pt idx="21">
                  <c:v>117.21</c:v>
                </c:pt>
                <c:pt idx="22">
                  <c:v>122.05</c:v>
                </c:pt>
                <c:pt idx="23">
                  <c:v>123.55</c:v>
                </c:pt>
                <c:pt idx="24">
                  <c:v>120.87</c:v>
                </c:pt>
                <c:pt idx="25">
                  <c:v>125.29</c:v>
                </c:pt>
                <c:pt idx="26">
                  <c:v>124.27</c:v>
                </c:pt>
                <c:pt idx="27">
                  <c:v>127.75</c:v>
                </c:pt>
                <c:pt idx="28">
                  <c:v>123.72</c:v>
                </c:pt>
                <c:pt idx="29">
                  <c:v>118.89</c:v>
                </c:pt>
                <c:pt idx="30">
                  <c:v>111.87</c:v>
                </c:pt>
                <c:pt idx="31">
                  <c:v>108.78</c:v>
                </c:pt>
                <c:pt idx="32">
                  <c:v>109.06</c:v>
                </c:pt>
                <c:pt idx="33">
                  <c:v>107.77</c:v>
                </c:pt>
                <c:pt idx="34">
                  <c:v>104.88</c:v>
                </c:pt>
                <c:pt idx="35">
                  <c:v>109.14</c:v>
                </c:pt>
                <c:pt idx="36">
                  <c:v>114.74</c:v>
                </c:pt>
                <c:pt idx="37">
                  <c:v>111.96</c:v>
                </c:pt>
                <c:pt idx="38">
                  <c:v>111.25</c:v>
                </c:pt>
                <c:pt idx="39">
                  <c:v>111.26</c:v>
                </c:pt>
                <c:pt idx="40">
                  <c:v>111.73</c:v>
                </c:pt>
                <c:pt idx="41">
                  <c:v>109.83</c:v>
                </c:pt>
                <c:pt idx="42">
                  <c:v>109.22</c:v>
                </c:pt>
                <c:pt idx="43">
                  <c:v>113.23</c:v>
                </c:pt>
                <c:pt idx="44">
                  <c:v>114.39</c:v>
                </c:pt>
                <c:pt idx="45">
                  <c:v>113.26</c:v>
                </c:pt>
                <c:pt idx="46">
                  <c:v>116.43</c:v>
                </c:pt>
                <c:pt idx="47">
                  <c:v>120.11</c:v>
                </c:pt>
                <c:pt idx="48">
                  <c:v>118.61</c:v>
                </c:pt>
                <c:pt idx="49">
                  <c:v>124.53</c:v>
                </c:pt>
                <c:pt idx="50">
                  <c:v>123.11</c:v>
                </c:pt>
                <c:pt idx="51">
                  <c:v>122.24</c:v>
                </c:pt>
                <c:pt idx="52">
                  <c:v>124.42</c:v>
                </c:pt>
                <c:pt idx="53">
                  <c:v>119.92</c:v>
                </c:pt>
                <c:pt idx="54">
                  <c:v>122.29</c:v>
                </c:pt>
                <c:pt idx="55">
                  <c:v>121.74</c:v>
                </c:pt>
                <c:pt idx="56">
                  <c:v>120.89</c:v>
                </c:pt>
                <c:pt idx="57">
                  <c:v>123.25</c:v>
                </c:pt>
                <c:pt idx="58">
                  <c:v>124.76</c:v>
                </c:pt>
                <c:pt idx="59">
                  <c:v>126</c:v>
                </c:pt>
                <c:pt idx="60">
                  <c:v>127.25</c:v>
                </c:pt>
                <c:pt idx="61">
                  <c:v>127.91</c:v>
                </c:pt>
                <c:pt idx="62">
                  <c:v>122.08</c:v>
                </c:pt>
                <c:pt idx="63">
                  <c:v>123.6</c:v>
                </c:pt>
                <c:pt idx="64">
                  <c:v>121.82</c:v>
                </c:pt>
                <c:pt idx="65">
                  <c:v>120.34</c:v>
                </c:pt>
                <c:pt idx="66">
                  <c:v>119.84</c:v>
                </c:pt>
                <c:pt idx="67">
                  <c:v>115.6</c:v>
                </c:pt>
                <c:pt idx="68">
                  <c:v>116.18</c:v>
                </c:pt>
                <c:pt idx="69">
                  <c:v>116.03</c:v>
                </c:pt>
                <c:pt idx="70">
                  <c:v>114.14</c:v>
                </c:pt>
                <c:pt idx="71">
                  <c:v>110.95</c:v>
                </c:pt>
                <c:pt idx="72">
                  <c:v>108.56</c:v>
                </c:pt>
                <c:pt idx="73">
                  <c:v>106.29</c:v>
                </c:pt>
                <c:pt idx="74">
                  <c:v>103.25</c:v>
                </c:pt>
                <c:pt idx="75">
                  <c:v>102.25</c:v>
                </c:pt>
                <c:pt idx="76">
                  <c:v>98.18</c:v>
                </c:pt>
                <c:pt idx="77">
                  <c:v>94.46</c:v>
                </c:pt>
                <c:pt idx="78">
                  <c:v>96.8</c:v>
                </c:pt>
                <c:pt idx="79">
                  <c:v>96.18</c:v>
                </c:pt>
                <c:pt idx="80">
                  <c:v>96.38</c:v>
                </c:pt>
                <c:pt idx="81">
                  <c:v>93.37</c:v>
                </c:pt>
                <c:pt idx="82">
                  <c:v>94.83</c:v>
                </c:pt>
                <c:pt idx="83">
                  <c:v>95.84</c:v>
                </c:pt>
                <c:pt idx="84">
                  <c:v>98.1</c:v>
                </c:pt>
                <c:pt idx="85">
                  <c:v>98.65</c:v>
                </c:pt>
                <c:pt idx="86">
                  <c:v>98</c:v>
                </c:pt>
                <c:pt idx="87">
                  <c:v>95.45</c:v>
                </c:pt>
                <c:pt idx="88">
                  <c:v>95.32</c:v>
                </c:pt>
                <c:pt idx="89">
                  <c:v>96.93</c:v>
                </c:pt>
                <c:pt idx="90">
                  <c:v>92.29</c:v>
                </c:pt>
                <c:pt idx="91">
                  <c:v>85.86</c:v>
                </c:pt>
                <c:pt idx="92">
                  <c:v>85.15</c:v>
                </c:pt>
                <c:pt idx="93">
                  <c:v>82.62</c:v>
                </c:pt>
                <c:pt idx="94">
                  <c:v>80.510000000000005</c:v>
                </c:pt>
                <c:pt idx="95">
                  <c:v>80.42</c:v>
                </c:pt>
                <c:pt idx="96">
                  <c:v>80.72</c:v>
                </c:pt>
                <c:pt idx="97">
                  <c:v>77.77</c:v>
                </c:pt>
                <c:pt idx="98">
                  <c:v>76.95</c:v>
                </c:pt>
                <c:pt idx="99">
                  <c:v>76.88</c:v>
                </c:pt>
                <c:pt idx="100">
                  <c:v>78.56</c:v>
                </c:pt>
                <c:pt idx="101">
                  <c:v>79.78</c:v>
                </c:pt>
                <c:pt idx="102">
                  <c:v>77.42</c:v>
                </c:pt>
                <c:pt idx="103">
                  <c:v>72.930000000000007</c:v>
                </c:pt>
                <c:pt idx="104">
                  <c:v>70.209999999999994</c:v>
                </c:pt>
                <c:pt idx="105">
                  <c:v>66.739999999999995</c:v>
                </c:pt>
                <c:pt idx="106">
                  <c:v>68.8</c:v>
                </c:pt>
                <c:pt idx="107">
                  <c:v>69.33</c:v>
                </c:pt>
                <c:pt idx="108">
                  <c:v>71.040000000000006</c:v>
                </c:pt>
                <c:pt idx="109">
                  <c:v>71.02</c:v>
                </c:pt>
                <c:pt idx="110">
                  <c:v>69.55</c:v>
                </c:pt>
                <c:pt idx="111">
                  <c:v>70.05</c:v>
                </c:pt>
                <c:pt idx="112">
                  <c:v>77.87</c:v>
                </c:pt>
                <c:pt idx="113">
                  <c:v>65.540000000000006</c:v>
                </c:pt>
                <c:pt idx="114">
                  <c:v>68.37</c:v>
                </c:pt>
                <c:pt idx="115">
                  <c:v>64.72</c:v>
                </c:pt>
                <c:pt idx="116">
                  <c:v>74.34</c:v>
                </c:pt>
                <c:pt idx="117">
                  <c:v>88.6</c:v>
                </c:pt>
                <c:pt idx="118">
                  <c:v>88.71</c:v>
                </c:pt>
                <c:pt idx="119">
                  <c:v>86.89</c:v>
                </c:pt>
                <c:pt idx="120">
                  <c:v>88.44</c:v>
                </c:pt>
                <c:pt idx="121">
                  <c:v>91.16</c:v>
                </c:pt>
                <c:pt idx="122">
                  <c:v>92.13</c:v>
                </c:pt>
                <c:pt idx="123">
                  <c:v>94.18</c:v>
                </c:pt>
                <c:pt idx="124">
                  <c:v>96.94</c:v>
                </c:pt>
                <c:pt idx="125">
                  <c:v>94.72</c:v>
                </c:pt>
                <c:pt idx="126">
                  <c:v>103</c:v>
                </c:pt>
                <c:pt idx="127">
                  <c:v>102.06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9-744F-A926-A1F36B033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6900671"/>
        <c:axId val="1699715647"/>
      </c:areaChart>
      <c:dateAx>
        <c:axId val="1686900671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9715647"/>
        <c:crosses val="autoZero"/>
        <c:auto val="1"/>
        <c:lblOffset val="100"/>
        <c:baseTimeUnit val="days"/>
        <c:majorUnit val="1"/>
        <c:majorTimeUnit val="months"/>
      </c:dateAx>
      <c:valAx>
        <c:axId val="169971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6900671"/>
        <c:crossesAt val="45735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50855</xdr:colOff>
      <xdr:row>22</xdr:row>
      <xdr:rowOff>72635</xdr:rowOff>
    </xdr:from>
    <xdr:to>
      <xdr:col>7</xdr:col>
      <xdr:colOff>1492806</xdr:colOff>
      <xdr:row>41</xdr:row>
      <xdr:rowOff>111404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FAF71D-CA10-084F-8752-8DD0FD170264}"/>
            </a:ext>
          </a:extLst>
        </xdr:cNvPr>
        <xdr:cNvSpPr txBox="1"/>
      </xdr:nvSpPr>
      <xdr:spPr>
        <a:xfrm>
          <a:off x="1562155" y="7057635"/>
          <a:ext cx="12605251" cy="60712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800" b="1" i="0" u="sng" strike="noStrike">
              <a:solidFill>
                <a:srgbClr val="000000"/>
              </a:solidFill>
              <a:latin typeface="Aptos Narrow" panose="020B0004020202020204" pitchFamily="34" charset="0"/>
            </a:rPr>
            <a:t>RATIONALE FOR THE BEST COMPS:</a:t>
          </a:r>
        </a:p>
        <a:p>
          <a:pPr marL="0" indent="0" algn="l"/>
          <a:endParaRPr lang="en-US" sz="14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600" b="1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Broadcom Inc.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Broadcom serves as the upper-range benchmark in Micron’s peer set. Although its market cap ($1.65T) is around nine times higher than Micron’s ($182B), both companies show similar growth exposure to AI and data center demand — Broadcom’s 44% YoY revenue growth aligns with Micron’s 61.6%. Broadcom’s EBITDA margin (46.3%) exceeds Micron’s 38.2%, showing higher operating efficiency, while its EV/EBITDA (71.5×) captures the premium investors assign to scale and diversification. Despite higher leverage (Debt/EBITDA 283% vs. Micron’s 140%), Broadcom remains an important peer for understanding how large, profitable semiconductor firms are valued.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600" b="1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AMD (Advanced Micro Devices)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AMD is a close operational peer for Micron, as both serve computing and data center markets. With enterprise values of $260B (AMD) and $189B (Micron), they operate at comparable scale. AMD’s EBITDA margin (20.4%) is lower than Micron’s 38.2%, but its EV/EBITDA multiple (49.4×) shows stronger investor optimism for future growth. Their leverage levels are nearly identical (Debt/EBITDA ~138–140%), making AMD a solid midpoint benchmark that reflects Micron’s balance of profitability and cyclical exposure.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600" b="1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Qualcomm Inc.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Qualcomm provides the lower-range valuation anchor in the set. Its enterprise value ($195B) and EBITDA margin (32.7%) closely match Micron’s figures, while its EV/EBITDA (15.3×) represents a conservative, stable valuation typical for established, cash-generating semiconductor firms. Qualcomm’s ROE (42%) and lower leverage (Debt/EBITDA 115%) show strong profitability and financial discipline, making it a relevant reference point for Micron’s long-term performance.</a:t>
          </a:r>
        </a:p>
        <a:p>
          <a:pPr marL="0" indent="0" algn="l"/>
          <a:endParaRPr lang="en-US" sz="14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24</xdr:row>
      <xdr:rowOff>184150</xdr:rowOff>
    </xdr:from>
    <xdr:to>
      <xdr:col>10</xdr:col>
      <xdr:colOff>0</xdr:colOff>
      <xdr:row>40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EB30CA-0116-C969-963C-58B9993D1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279401</xdr:colOff>
      <xdr:row>12</xdr:row>
      <xdr:rowOff>0</xdr:rowOff>
    </xdr:from>
    <xdr:to>
      <xdr:col>4</xdr:col>
      <xdr:colOff>368300</xdr:colOff>
      <xdr:row>23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6CCB2F7-2459-6FB8-5DD0-CA0FDDFF5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30</xdr:row>
      <xdr:rowOff>25400</xdr:rowOff>
    </xdr:from>
    <xdr:to>
      <xdr:col>16</xdr:col>
      <xdr:colOff>450850</xdr:colOff>
      <xdr:row>43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3CF7BD-10D0-41F0-E83E-18C7D61D0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706523</xdr:colOff>
      <xdr:row>45</xdr:row>
      <xdr:rowOff>38100</xdr:rowOff>
    </xdr:from>
    <xdr:to>
      <xdr:col>15</xdr:col>
      <xdr:colOff>918046</xdr:colOff>
      <xdr:row>57</xdr:row>
      <xdr:rowOff>192104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3A831B7-7A4A-E958-410E-65E2D66AD47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0.01818</cdr:x>
      <cdr:y>0.03472</cdr:y>
    </cdr:from>
    <cdr:to>
      <cdr:x>0.76727</cdr:x>
      <cdr:y>0.17824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B0A05B1-13AD-B2C2-4460-AE27A805A43B}"/>
            </a:ext>
          </a:extLst>
        </cdr:cNvPr>
        <cdr:cNvSpPr txBox="1"/>
      </cdr:nvSpPr>
      <cdr:spPr>
        <a:xfrm xmlns:a="http://schemas.openxmlformats.org/drawingml/2006/main">
          <a:off x="63498" y="95250"/>
          <a:ext cx="26162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0.00898</cdr:x>
      <cdr:y>0.09684</cdr:y>
    </cdr:from>
    <cdr:to>
      <cdr:x>0.63807</cdr:x>
      <cdr:y>0.20332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4B769FF-1C7E-4979-5AFD-C01B764A24D1}"/>
            </a:ext>
          </a:extLst>
        </cdr:cNvPr>
        <cdr:cNvSpPr txBox="1"/>
      </cdr:nvSpPr>
      <cdr:spPr>
        <a:xfrm xmlns:a="http://schemas.openxmlformats.org/drawingml/2006/main">
          <a:off x="23043" y="225675"/>
          <a:ext cx="1613870" cy="24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1" kern="1200"/>
            <a:t>Revenue</a:t>
          </a:r>
          <a:r>
            <a:rPr lang="en-US" sz="1100" kern="1200"/>
            <a:t> </a:t>
          </a:r>
          <a:r>
            <a:rPr lang="en-US" sz="1100" b="0" i="1" kern="1200"/>
            <a:t>Split</a:t>
          </a:r>
          <a:r>
            <a:rPr lang="en-US" sz="1100" kern="1200"/>
            <a:t> </a:t>
          </a:r>
          <a:r>
            <a:rPr lang="en-US" sz="1100" i="1" kern="1200">
              <a:latin typeface="Times New Roman" panose="02020603050405020304" pitchFamily="18" charset="0"/>
              <a:cs typeface="Times New Roman" panose="02020603050405020304" pitchFamily="18" charset="0"/>
            </a:rPr>
            <a:t>FY2024</a:t>
          </a:r>
          <a:r>
            <a:rPr lang="en-US" sz="1100" kern="1200"/>
            <a:t> 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21526</xdr:colOff>
      <xdr:row>13</xdr:row>
      <xdr:rowOff>215251</xdr:rowOff>
    </xdr:from>
    <xdr:to>
      <xdr:col>13</xdr:col>
      <xdr:colOff>582732</xdr:colOff>
      <xdr:row>32</xdr:row>
      <xdr:rowOff>215253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DA7E31-A2F8-31E1-BA8E-376DEBF92C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736A39-8459-244C-9548-D3FFFE24359F}" name="Table1" displayName="Table1" ref="U15:W19" totalsRowShown="0" headerRowDxfId="21">
  <autoFilter ref="U15:W19" xr:uid="{4F736A39-8459-244C-9548-D3FFFE24359F}"/>
  <tableColumns count="3">
    <tableColumn id="1" xr3:uid="{39A18ACB-68E4-8847-B716-B7EBC5272B49}" name="Metric"/>
    <tableColumn id="2" xr3:uid="{7A66D5FA-D869-9944-AB96-7C9A165B881C}" name="FY23A" dataDxfId="20"/>
    <tableColumn id="3" xr3:uid="{71A7471E-C017-3C47-83F6-00A203A95CB5}" name="FY24A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F20E26-DEFD-944E-B0D7-D542CDF56441}" name="Table2" displayName="Table2" ref="AA23:AC28" totalsRowShown="0" headerRowDxfId="18" dataDxfId="17">
  <autoFilter ref="AA23:AC28" xr:uid="{9AF20E26-DEFD-944E-B0D7-D542CDF56441}"/>
  <tableColumns count="3">
    <tableColumn id="1" xr3:uid="{9483B3E6-ECD7-AD47-8BEE-F1A1E478A1F3}" name="Valuation Method" dataDxfId="16"/>
    <tableColumn id="2" xr3:uid="{45EDA795-CE9C-144F-9402-FD7DEC4DEC09}" name="Primary Driver " dataDxfId="15"/>
    <tableColumn id="3" xr3:uid="{88AECC26-4D3F-0A4E-826E-7E0AD2F02205}" name="Estimated Value ($/sh)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F91ACE-0C2F-9344-8B33-3795787F4D71}" name="Table3" displayName="Table3" ref="B44:D50" totalsRowShown="0" headerRowDxfId="13" dataDxfId="12">
  <autoFilter ref="B44:D50" xr:uid="{92F91ACE-0C2F-9344-8B33-3795787F4D71}"/>
  <tableColumns count="3">
    <tableColumn id="1" xr3:uid="{EA96C3ED-CB12-FD41-B7BB-73E13536231F}" name="Metric" dataDxfId="11"/>
    <tableColumn id="2" xr3:uid="{630DC978-AF7A-6141-A922-65DAD48BE046}" name="FY2023A" dataDxfId="10"/>
    <tableColumn id="3" xr3:uid="{340962C0-D23B-8E44-B3BE-8A2FC0567648}" name="FY2024A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7C0A85-AD0F-DD4B-B56D-D1BFAA7E7C18}" name="Table4" displayName="Table4" ref="F58:I66" totalsRowShown="0" headerRowDxfId="8" dataDxfId="7">
  <autoFilter ref="F58:I66" xr:uid="{AA7C0A85-AD0F-DD4B-B56D-D1BFAA7E7C18}"/>
  <tableColumns count="4">
    <tableColumn id="1" xr3:uid="{25502A43-3CAE-864C-9CFF-EFF9B605CC44}" name="Fiscal Year" dataDxfId="6"/>
    <tableColumn id="2" xr3:uid="{BCA6E256-79E5-F048-AB46-D9E6168B2AA4}" name="Cash &amp; Investments" dataDxfId="5"/>
    <tableColumn id="3" xr3:uid="{E6EB1734-BFD0-D642-BCDF-71319293B1F3}" name="Total Debt" dataDxfId="4"/>
    <tableColumn id="4" xr3:uid="{26BC07E1-00AD-E14F-9BDA-71062741863B}" name="Net Debt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234DE1-BB70-3941-86C0-6FB8AA8AD7DC}" name="Table5" displayName="Table5" ref="X46:Y55" totalsRowShown="0" headerRowDxfId="2">
  <autoFilter ref="X46:Y55" xr:uid="{08234DE1-BB70-3941-86C0-6FB8AA8AD7DC}"/>
  <tableColumns count="2">
    <tableColumn id="1" xr3:uid="{7F98E4C6-2EE5-2E47-AF87-BC57A9522990}" name="Component" dataDxfId="1"/>
    <tableColumn id="2" xr3:uid="{2FCC50AE-FBB5-A645-9C7A-DE017A863D9D}" name="Assum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3262DDD-57EB-3841-A092-18002008C7AE}">
  <we:reference id="wa200005271" version="2.6.1.0" store="en-US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4570-FDA7-0741-B377-C7AD77167D73}">
  <dimension ref="B1:AA270"/>
  <sheetViews>
    <sheetView topLeftCell="A260" zoomScale="75" zoomScaleNormal="62" workbookViewId="0">
      <selection activeCell="B250" sqref="B250:E258"/>
    </sheetView>
  </sheetViews>
  <sheetFormatPr baseColWidth="10" defaultColWidth="13.83203125" defaultRowHeight="22" customHeight="1" outlineLevelRow="1" x14ac:dyDescent="0.2"/>
  <cols>
    <col min="1" max="1" width="13.83203125" style="1"/>
    <col min="2" max="2" width="22" style="1" customWidth="1"/>
    <col min="3" max="15" width="13.83203125" style="1"/>
    <col min="16" max="16" width="13.83203125" style="2"/>
    <col min="17" max="17" width="13.83203125" style="1"/>
    <col min="18" max="18" width="18.1640625" style="1" customWidth="1"/>
    <col min="19" max="16384" width="13.83203125" style="1"/>
  </cols>
  <sheetData>
    <row r="1" spans="2:18" ht="22" customHeight="1" thickBot="1" x14ac:dyDescent="0.25"/>
    <row r="2" spans="2:18" ht="22" customHeight="1" x14ac:dyDescent="0.2">
      <c r="B2" s="3" t="s">
        <v>371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5" t="s">
        <v>12</v>
      </c>
      <c r="P2" s="6"/>
    </row>
    <row r="3" spans="2:18" ht="22" customHeight="1" x14ac:dyDescent="0.2">
      <c r="B3" s="448" t="s">
        <v>13</v>
      </c>
      <c r="C3" s="8">
        <v>15540</v>
      </c>
      <c r="D3" s="8">
        <v>25111</v>
      </c>
      <c r="E3" s="8">
        <f t="shared" ref="E3:O3" si="0">E177</f>
        <v>32934.425299999995</v>
      </c>
      <c r="F3" s="8">
        <f t="shared" si="0"/>
        <v>42651.480004839992</v>
      </c>
      <c r="G3" s="8">
        <f t="shared" si="0"/>
        <v>50999.434117174584</v>
      </c>
      <c r="H3" s="8">
        <f t="shared" si="0"/>
        <v>54251.362743912454</v>
      </c>
      <c r="I3" s="8">
        <f t="shared" si="0"/>
        <v>57115.834696791026</v>
      </c>
      <c r="J3" s="8">
        <f t="shared" si="0"/>
        <v>60720.973202220375</v>
      </c>
      <c r="K3" s="8">
        <f t="shared" si="0"/>
        <v>86455.43151001072</v>
      </c>
      <c r="L3" s="8">
        <f t="shared" si="0"/>
        <v>118504.29506865484</v>
      </c>
      <c r="M3" s="8">
        <f t="shared" si="0"/>
        <v>148588.58973114719</v>
      </c>
      <c r="N3" s="8">
        <f t="shared" si="0"/>
        <v>164009.7405477014</v>
      </c>
      <c r="O3" s="9">
        <f t="shared" si="0"/>
        <v>179129.42582668847</v>
      </c>
      <c r="P3" s="10"/>
    </row>
    <row r="4" spans="2:18" ht="22" customHeight="1" x14ac:dyDescent="0.35">
      <c r="B4" s="7" t="s">
        <v>14</v>
      </c>
      <c r="C4" s="11">
        <v>16956</v>
      </c>
      <c r="D4" s="11">
        <v>19498</v>
      </c>
      <c r="E4" s="11">
        <f>E3*(1-E178)</f>
        <v>15808.524143999997</v>
      </c>
      <c r="F4" s="11">
        <f t="shared" ref="F4:O4" si="1">F3*(1-F178)</f>
        <v>20046.195602274795</v>
      </c>
      <c r="G4" s="11">
        <f t="shared" si="1"/>
        <v>23969.734035072051</v>
      </c>
      <c r="H4" s="11">
        <f t="shared" si="1"/>
        <v>27125.681371956227</v>
      </c>
      <c r="I4" s="11">
        <f t="shared" si="1"/>
        <v>29129.075695363423</v>
      </c>
      <c r="J4" s="11">
        <f t="shared" si="1"/>
        <v>32789.325529199006</v>
      </c>
      <c r="K4" s="11">
        <f t="shared" si="1"/>
        <v>47550.487330505901</v>
      </c>
      <c r="L4" s="11">
        <f t="shared" si="1"/>
        <v>65177.362287760167</v>
      </c>
      <c r="M4" s="11">
        <f t="shared" si="1"/>
        <v>83209.610249442441</v>
      </c>
      <c r="N4" s="11">
        <f t="shared" si="1"/>
        <v>90205.357301235781</v>
      </c>
      <c r="O4" s="12">
        <f t="shared" si="1"/>
        <v>98521.184204678662</v>
      </c>
      <c r="P4" s="10"/>
    </row>
    <row r="5" spans="2:18" ht="22" customHeight="1" x14ac:dyDescent="0.2">
      <c r="B5" s="447" t="s">
        <v>344</v>
      </c>
      <c r="C5" s="13">
        <f>C3-C4</f>
        <v>-1416</v>
      </c>
      <c r="D5" s="8">
        <f>D3-D4</f>
        <v>5613</v>
      </c>
      <c r="E5" s="8">
        <f t="shared" ref="E5:O5" si="2">E3-E4</f>
        <v>17125.901156</v>
      </c>
      <c r="F5" s="8">
        <f t="shared" si="2"/>
        <v>22605.284402565198</v>
      </c>
      <c r="G5" s="8">
        <f t="shared" si="2"/>
        <v>27029.700082102532</v>
      </c>
      <c r="H5" s="8">
        <f t="shared" si="2"/>
        <v>27125.681371956227</v>
      </c>
      <c r="I5" s="8">
        <f t="shared" si="2"/>
        <v>27986.759001427603</v>
      </c>
      <c r="J5" s="8">
        <f t="shared" si="2"/>
        <v>27931.647673021369</v>
      </c>
      <c r="K5" s="8">
        <f t="shared" si="2"/>
        <v>38904.944179504819</v>
      </c>
      <c r="L5" s="8">
        <f t="shared" si="2"/>
        <v>53326.932780894676</v>
      </c>
      <c r="M5" s="8">
        <f t="shared" si="2"/>
        <v>65378.979481704751</v>
      </c>
      <c r="N5" s="8">
        <f t="shared" si="2"/>
        <v>73804.383246465615</v>
      </c>
      <c r="O5" s="9">
        <f t="shared" si="2"/>
        <v>80608.241622009809</v>
      </c>
      <c r="P5" s="10"/>
    </row>
    <row r="6" spans="2:18" ht="22" customHeight="1" x14ac:dyDescent="0.2">
      <c r="B6" s="7" t="s">
        <v>15</v>
      </c>
      <c r="C6" s="14">
        <v>3409</v>
      </c>
      <c r="D6" s="14">
        <f>3430-250</f>
        <v>3180</v>
      </c>
      <c r="E6" s="14">
        <f t="shared" ref="E6:J6" si="3">E179</f>
        <v>5000</v>
      </c>
      <c r="F6" s="14">
        <f t="shared" si="3"/>
        <v>6000</v>
      </c>
      <c r="G6" s="14">
        <f t="shared" si="3"/>
        <v>7000</v>
      </c>
      <c r="H6" s="14">
        <f t="shared" si="3"/>
        <v>6500</v>
      </c>
      <c r="I6" s="14">
        <f t="shared" si="3"/>
        <v>5000</v>
      </c>
      <c r="J6" s="14">
        <f t="shared" si="3"/>
        <v>5000</v>
      </c>
      <c r="K6" s="14">
        <f>K179</f>
        <v>4000</v>
      </c>
      <c r="L6" s="14">
        <f>L179</f>
        <v>3000</v>
      </c>
      <c r="M6" s="14">
        <f>M179</f>
        <v>3000</v>
      </c>
      <c r="N6" s="14">
        <f>N179</f>
        <v>3000</v>
      </c>
      <c r="O6" s="15">
        <f>O179</f>
        <v>2500</v>
      </c>
      <c r="P6" s="10"/>
    </row>
    <row r="7" spans="2:18" ht="22" customHeight="1" x14ac:dyDescent="0.2">
      <c r="B7" s="7" t="s">
        <v>16</v>
      </c>
      <c r="C7" s="14">
        <v>920</v>
      </c>
      <c r="D7" s="14">
        <f>1129</f>
        <v>1129</v>
      </c>
      <c r="E7" s="14">
        <f>E3*E180</f>
        <v>1383.2458625999998</v>
      </c>
      <c r="F7" s="14">
        <f t="shared" ref="F7:O7" si="4">F3*F180</f>
        <v>1791.3621602032797</v>
      </c>
      <c r="G7" s="14">
        <f t="shared" si="4"/>
        <v>2090.9767988041581</v>
      </c>
      <c r="H7" s="14">
        <f t="shared" si="4"/>
        <v>2170.0545097564982</v>
      </c>
      <c r="I7" s="14">
        <f t="shared" si="4"/>
        <v>2284.6333878716409</v>
      </c>
      <c r="J7" s="14">
        <f t="shared" si="4"/>
        <v>2368.1179548865948</v>
      </c>
      <c r="K7" s="14">
        <f t="shared" si="4"/>
        <v>3198.8509658703965</v>
      </c>
      <c r="L7" s="14">
        <f t="shared" si="4"/>
        <v>4266.1546224715739</v>
      </c>
      <c r="M7" s="14">
        <f t="shared" si="4"/>
        <v>5200.6006405901526</v>
      </c>
      <c r="N7" s="14">
        <f t="shared" si="4"/>
        <v>5576.3311786218483</v>
      </c>
      <c r="O7" s="15">
        <f t="shared" si="4"/>
        <v>5911.2710522807201</v>
      </c>
      <c r="P7" s="10"/>
    </row>
    <row r="8" spans="2:18" ht="22" customHeight="1" x14ac:dyDescent="0.2">
      <c r="B8" s="7" t="s">
        <v>17</v>
      </c>
      <c r="C8" s="14">
        <v>137</v>
      </c>
      <c r="D8" s="14">
        <v>140</v>
      </c>
      <c r="E8" s="14">
        <f>E99</f>
        <v>146.5205</v>
      </c>
      <c r="F8" s="14">
        <f t="shared" ref="F8:J8" si="5">F99</f>
        <v>154.01907499999999</v>
      </c>
      <c r="G8" s="14">
        <f t="shared" si="5"/>
        <v>162.64243624999997</v>
      </c>
      <c r="H8" s="14">
        <f t="shared" si="5"/>
        <v>172.55930168749998</v>
      </c>
      <c r="I8" s="14">
        <f t="shared" si="5"/>
        <v>183.96369694062497</v>
      </c>
      <c r="J8" s="14">
        <f t="shared" si="5"/>
        <v>197.07875148171871</v>
      </c>
      <c r="K8" s="14">
        <f>K99</f>
        <v>212.16106420397651</v>
      </c>
      <c r="L8" s="14">
        <f>L99</f>
        <v>229.50572383457299</v>
      </c>
      <c r="M8" s="14">
        <f>M99</f>
        <v>249.45208240975893</v>
      </c>
      <c r="N8" s="14">
        <f>N99</f>
        <v>272.39039477122276</v>
      </c>
      <c r="O8" s="15">
        <f>O99</f>
        <v>298.76945398690617</v>
      </c>
      <c r="P8" s="16"/>
    </row>
    <row r="9" spans="2:18" ht="22" customHeight="1" x14ac:dyDescent="0.2">
      <c r="B9" s="7" t="s">
        <v>18</v>
      </c>
      <c r="C9" s="14">
        <v>564</v>
      </c>
      <c r="D9" s="14">
        <v>821</v>
      </c>
      <c r="E9" s="14">
        <f>(E3*E184)</f>
        <v>1053.9016095999998</v>
      </c>
      <c r="F9" s="14">
        <f t="shared" ref="F9:O9" si="6">(F3*F184)</f>
        <v>1279.5444001451997</v>
      </c>
      <c r="G9" s="14">
        <f t="shared" si="6"/>
        <v>1478.983589398063</v>
      </c>
      <c r="H9" s="14">
        <f t="shared" si="6"/>
        <v>1573.2895195734613</v>
      </c>
      <c r="I9" s="14">
        <f t="shared" si="6"/>
        <v>1599.2433715101488</v>
      </c>
      <c r="J9" s="14">
        <f t="shared" si="6"/>
        <v>1700.1872496621706</v>
      </c>
      <c r="K9" s="14">
        <f t="shared" si="6"/>
        <v>2420.7520822803003</v>
      </c>
      <c r="L9" s="14">
        <f t="shared" si="6"/>
        <v>3199.6159668536807</v>
      </c>
      <c r="M9" s="14">
        <f t="shared" si="6"/>
        <v>4011.8919227409742</v>
      </c>
      <c r="N9" s="14">
        <f t="shared" si="6"/>
        <v>4428.2629947879377</v>
      </c>
      <c r="O9" s="15">
        <f t="shared" si="6"/>
        <v>4836.4944973205884</v>
      </c>
      <c r="P9" s="16"/>
    </row>
    <row r="10" spans="2:18" ht="22" customHeight="1" x14ac:dyDescent="0.2">
      <c r="B10" s="449" t="s">
        <v>346</v>
      </c>
      <c r="C10" s="14">
        <v>2011</v>
      </c>
      <c r="D10" s="14">
        <v>9084</v>
      </c>
      <c r="E10" s="14">
        <f>E12+E11</f>
        <v>19131.545293399999</v>
      </c>
      <c r="F10" s="14">
        <f>F12+F11</f>
        <v>25284.738442361919</v>
      </c>
      <c r="G10" s="14">
        <f t="shared" ref="G10:O10" si="7">G12+G11</f>
        <v>29087.052719298375</v>
      </c>
      <c r="H10" s="14">
        <f t="shared" si="7"/>
        <v>29625.935338639727</v>
      </c>
      <c r="I10" s="14">
        <f t="shared" si="7"/>
        <v>32439.858031067964</v>
      </c>
      <c r="J10" s="14">
        <f t="shared" si="7"/>
        <v>32479.010181843892</v>
      </c>
      <c r="K10" s="14">
        <f t="shared" si="7"/>
        <v>43687.120958295418</v>
      </c>
      <c r="L10" s="14">
        <f t="shared" si="7"/>
        <v>58359.13010869312</v>
      </c>
      <c r="M10" s="14">
        <f t="shared" si="7"/>
        <v>69555.86572001921</v>
      </c>
      <c r="N10" s="14">
        <f t="shared" si="7"/>
        <v>77508.285760260434</v>
      </c>
      <c r="O10" s="15">
        <f t="shared" si="7"/>
        <v>84217.327204054149</v>
      </c>
      <c r="P10" s="16"/>
    </row>
    <row r="11" spans="2:18" ht="22" customHeight="1" x14ac:dyDescent="0.2">
      <c r="B11" s="17" t="s">
        <v>19</v>
      </c>
      <c r="C11" s="14">
        <f>7756</f>
        <v>7756</v>
      </c>
      <c r="D11" s="14">
        <v>7780</v>
      </c>
      <c r="E11" s="14">
        <f>E115+E89</f>
        <v>8388.89</v>
      </c>
      <c r="F11" s="14">
        <f t="shared" ref="F11:O11" si="8">F115+F89</f>
        <v>10470.816200000001</v>
      </c>
      <c r="G11" s="14">
        <f t="shared" si="8"/>
        <v>11148.329436</v>
      </c>
      <c r="H11" s="14">
        <f t="shared" si="8"/>
        <v>11170.308476439997</v>
      </c>
      <c r="I11" s="14">
        <f t="shared" si="8"/>
        <v>11737.732417512001</v>
      </c>
      <c r="J11" s="14">
        <f t="shared" si="8"/>
        <v>11915.48046370912</v>
      </c>
      <c r="K11" s="14">
        <f t="shared" si="8"/>
        <v>11981.027744660998</v>
      </c>
      <c r="L11" s="14">
        <f t="shared" si="8"/>
        <v>12298.351950270018</v>
      </c>
      <c r="M11" s="14">
        <f t="shared" si="8"/>
        <v>12377.486878904614</v>
      </c>
      <c r="N11" s="14">
        <f t="shared" si="8"/>
        <v>12280.233692416661</v>
      </c>
      <c r="O11" s="15">
        <f t="shared" si="8"/>
        <v>12020.356634325055</v>
      </c>
      <c r="P11" s="16"/>
    </row>
    <row r="12" spans="2:18" ht="22" customHeight="1" x14ac:dyDescent="0.2">
      <c r="B12" s="447" t="s">
        <v>345</v>
      </c>
      <c r="C12" s="16">
        <f>C5-C6-C7</f>
        <v>-5745</v>
      </c>
      <c r="D12" s="14">
        <f>D5-D6-D7</f>
        <v>1304</v>
      </c>
      <c r="E12" s="453">
        <f>E5-E6-E7</f>
        <v>10742.655293399999</v>
      </c>
      <c r="F12" s="453">
        <f t="shared" ref="F12:O12" si="9">F5-F6-F7</f>
        <v>14813.922242361918</v>
      </c>
      <c r="G12" s="453">
        <f t="shared" si="9"/>
        <v>17938.723283298375</v>
      </c>
      <c r="H12" s="453">
        <f t="shared" si="9"/>
        <v>18455.62686219973</v>
      </c>
      <c r="I12" s="453">
        <f t="shared" si="9"/>
        <v>20702.125613555963</v>
      </c>
      <c r="J12" s="453">
        <f t="shared" si="9"/>
        <v>20563.529718134774</v>
      </c>
      <c r="K12" s="453">
        <f t="shared" si="9"/>
        <v>31706.093213634424</v>
      </c>
      <c r="L12" s="453">
        <f t="shared" si="9"/>
        <v>46060.778158423105</v>
      </c>
      <c r="M12" s="453">
        <f t="shared" si="9"/>
        <v>57178.378841114602</v>
      </c>
      <c r="N12" s="453">
        <f t="shared" si="9"/>
        <v>65228.052067843768</v>
      </c>
      <c r="O12" s="18">
        <f t="shared" si="9"/>
        <v>72196.970569729092</v>
      </c>
      <c r="P12" s="16"/>
    </row>
    <row r="13" spans="2:18" ht="22" customHeight="1" x14ac:dyDescent="0.2">
      <c r="B13" s="7" t="s">
        <v>20</v>
      </c>
      <c r="C13" s="16">
        <v>-388</v>
      </c>
      <c r="D13" s="16">
        <v>-562</v>
      </c>
      <c r="E13" s="16">
        <f t="shared" ref="E13:O13" si="10">-E146</f>
        <v>-525.89599999999996</v>
      </c>
      <c r="F13" s="16">
        <f t="shared" si="10"/>
        <v>-543.42166666666662</v>
      </c>
      <c r="G13" s="16">
        <f t="shared" si="10"/>
        <v>-555.34091666666666</v>
      </c>
      <c r="H13" s="16">
        <f t="shared" si="10"/>
        <v>-569.96945833333336</v>
      </c>
      <c r="I13" s="16">
        <f t="shared" si="10"/>
        <v>-583.10809374999997</v>
      </c>
      <c r="J13" s="16">
        <f t="shared" si="10"/>
        <v>-599.31816145833341</v>
      </c>
      <c r="K13" s="16">
        <f t="shared" si="10"/>
        <v>-613.88589973958335</v>
      </c>
      <c r="L13" s="16">
        <f t="shared" si="10"/>
        <v>-626.42737955729172</v>
      </c>
      <c r="M13" s="16">
        <f t="shared" si="10"/>
        <v>-637.14789208984371</v>
      </c>
      <c r="N13" s="16">
        <f t="shared" si="10"/>
        <v>-651.20071964518229</v>
      </c>
      <c r="O13" s="19">
        <f t="shared" si="10"/>
        <v>-663.91348313395179</v>
      </c>
      <c r="P13" s="16"/>
      <c r="R13" s="1" t="s">
        <v>21</v>
      </c>
    </row>
    <row r="14" spans="2:18" ht="22" customHeight="1" x14ac:dyDescent="0.2">
      <c r="B14" s="7" t="s">
        <v>22</v>
      </c>
      <c r="C14" s="14">
        <v>468</v>
      </c>
      <c r="D14" s="14">
        <v>529</v>
      </c>
      <c r="E14" s="14">
        <f ca="1">(D22+D23+E22+E23)/2*E189</f>
        <v>193.55068415813287</v>
      </c>
      <c r="F14" s="14">
        <f t="shared" ref="F14:O14" ca="1" si="11">(E22+E23+F22+F23)/2*F189</f>
        <v>271.68961427569974</v>
      </c>
      <c r="G14" s="14">
        <f t="shared" ca="1" si="11"/>
        <v>466.68703630310171</v>
      </c>
      <c r="H14" s="14">
        <f t="shared" ca="1" si="11"/>
        <v>690.13134273897936</v>
      </c>
      <c r="I14" s="14">
        <f t="shared" ca="1" si="11"/>
        <v>943.86801296786223</v>
      </c>
      <c r="J14" s="14">
        <f t="shared" ca="1" si="11"/>
        <v>1245.7127096353597</v>
      </c>
      <c r="K14" s="14">
        <f t="shared" ca="1" si="11"/>
        <v>1631.4824298906378</v>
      </c>
      <c r="L14" s="14">
        <f t="shared" ca="1" si="11"/>
        <v>2243.6918830952841</v>
      </c>
      <c r="M14" s="14">
        <f t="shared" ca="1" si="11"/>
        <v>3137.9113623438679</v>
      </c>
      <c r="N14" s="14">
        <f t="shared" ca="1" si="11"/>
        <v>4265.4177663235569</v>
      </c>
      <c r="O14" s="15">
        <f t="shared" ca="1" si="11"/>
        <v>5580.1853560267527</v>
      </c>
      <c r="P14" s="16"/>
    </row>
    <row r="15" spans="2:18" ht="22" customHeight="1" x14ac:dyDescent="0.2">
      <c r="B15" s="7" t="s">
        <v>23</v>
      </c>
      <c r="C15" s="14">
        <v>9</v>
      </c>
      <c r="D15" s="16">
        <v>-42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1">
        <v>0</v>
      </c>
      <c r="P15" s="16"/>
    </row>
    <row r="16" spans="2:18" ht="22" customHeight="1" x14ac:dyDescent="0.2">
      <c r="B16" s="447" t="s">
        <v>347</v>
      </c>
      <c r="C16" s="16">
        <f>C12+C13+C14+C15</f>
        <v>-5656</v>
      </c>
      <c r="D16" s="14">
        <f>D12+D13+D14+D15</f>
        <v>1229</v>
      </c>
      <c r="E16" s="453">
        <f ca="1">E12+E13+E14+E15</f>
        <v>10410.309977558132</v>
      </c>
      <c r="F16" s="453">
        <f t="shared" ref="F16:O16" ca="1" si="12">F12+F13+F14+F15</f>
        <v>14542.19018997095</v>
      </c>
      <c r="G16" s="14">
        <f ca="1">G12+G13+G14+G15</f>
        <v>17850.069402934809</v>
      </c>
      <c r="H16" s="14">
        <f ca="1">H12+H13+H14+H15</f>
        <v>18575.788746605376</v>
      </c>
      <c r="I16" s="14">
        <f t="shared" ca="1" si="12"/>
        <v>21062.885532773824</v>
      </c>
      <c r="J16" s="14">
        <f t="shared" ca="1" si="12"/>
        <v>21209.924266311798</v>
      </c>
      <c r="K16" s="14">
        <f ca="1">K12+K13+K14+K15</f>
        <v>32723.689743785479</v>
      </c>
      <c r="L16" s="14">
        <f t="shared" ca="1" si="12"/>
        <v>47678.042661961103</v>
      </c>
      <c r="M16" s="14">
        <f ca="1">M12+M13+M14+M15</f>
        <v>59679.142311368625</v>
      </c>
      <c r="N16" s="14">
        <f ca="1">N12+N13+N14+N15</f>
        <v>68842.269114522147</v>
      </c>
      <c r="O16" s="15">
        <f t="shared" ca="1" si="12"/>
        <v>77113.242442621893</v>
      </c>
      <c r="P16" s="16"/>
    </row>
    <row r="17" spans="2:16" ht="22" customHeight="1" x14ac:dyDescent="0.2">
      <c r="B17" s="7" t="s">
        <v>24</v>
      </c>
      <c r="C17" s="16">
        <v>-177</v>
      </c>
      <c r="D17" s="16">
        <v>-451</v>
      </c>
      <c r="E17" s="16">
        <f ca="1">-0.21*MAX(E16,0)</f>
        <v>-2186.1650952872078</v>
      </c>
      <c r="F17" s="16">
        <f t="shared" ref="F17:O17" ca="1" si="13">-0.21*MAX(F16,0)</f>
        <v>-3053.8599398938995</v>
      </c>
      <c r="G17" s="16">
        <f t="shared" ca="1" si="13"/>
        <v>-3748.5145746163098</v>
      </c>
      <c r="H17" s="16">
        <f t="shared" ca="1" si="13"/>
        <v>-3900.9156367871287</v>
      </c>
      <c r="I17" s="16">
        <f t="shared" ca="1" si="13"/>
        <v>-4423.2059618825033</v>
      </c>
      <c r="J17" s="16">
        <f t="shared" ca="1" si="13"/>
        <v>-4454.0840959254774</v>
      </c>
      <c r="K17" s="16">
        <f t="shared" ca="1" si="13"/>
        <v>-6871.9748461949503</v>
      </c>
      <c r="L17" s="16">
        <f t="shared" ca="1" si="13"/>
        <v>-10012.388959011831</v>
      </c>
      <c r="M17" s="16">
        <f t="shared" ca="1" si="13"/>
        <v>-12532.61988538741</v>
      </c>
      <c r="N17" s="16">
        <f t="shared" ca="1" si="13"/>
        <v>-14456.876514049651</v>
      </c>
      <c r="O17" s="19">
        <f t="shared" ca="1" si="13"/>
        <v>-16193.780912950597</v>
      </c>
      <c r="P17" s="16"/>
    </row>
    <row r="18" spans="2:16" ht="22" customHeight="1" thickBot="1" x14ac:dyDescent="0.25">
      <c r="B18" s="450" t="s">
        <v>348</v>
      </c>
      <c r="C18" s="22">
        <f>C16+C17</f>
        <v>-5833</v>
      </c>
      <c r="D18" s="23">
        <f>D16+D17</f>
        <v>778</v>
      </c>
      <c r="E18" s="23">
        <f t="shared" ref="E18:O18" ca="1" si="14">E16+E17</f>
        <v>8224.1448822709244</v>
      </c>
      <c r="F18" s="23">
        <f t="shared" ca="1" si="14"/>
        <v>11488.330250077051</v>
      </c>
      <c r="G18" s="23">
        <f t="shared" ca="1" si="14"/>
        <v>14101.554828318498</v>
      </c>
      <c r="H18" s="23">
        <f t="shared" ca="1" si="14"/>
        <v>14674.873109818247</v>
      </c>
      <c r="I18" s="23">
        <f t="shared" ca="1" si="14"/>
        <v>16639.67957089132</v>
      </c>
      <c r="J18" s="23">
        <f t="shared" ca="1" si="14"/>
        <v>16755.84017038632</v>
      </c>
      <c r="K18" s="23">
        <f t="shared" ca="1" si="14"/>
        <v>25851.714897590529</v>
      </c>
      <c r="L18" s="23">
        <f t="shared" ca="1" si="14"/>
        <v>37665.653702949276</v>
      </c>
      <c r="M18" s="23">
        <f t="shared" ca="1" si="14"/>
        <v>47146.522425981217</v>
      </c>
      <c r="N18" s="23">
        <f t="shared" ca="1" si="14"/>
        <v>54385.392600472493</v>
      </c>
      <c r="O18" s="24">
        <f t="shared" ca="1" si="14"/>
        <v>60919.461529671295</v>
      </c>
      <c r="P18" s="16"/>
    </row>
    <row r="20" spans="2:16" ht="22" customHeight="1" thickBot="1" x14ac:dyDescent="0.25"/>
    <row r="21" spans="2:16" ht="22" customHeight="1" x14ac:dyDescent="0.2">
      <c r="B21" s="3" t="s">
        <v>25</v>
      </c>
      <c r="C21" s="4" t="str">
        <f t="shared" ref="C21:O21" si="15">C2</f>
        <v>2023A</v>
      </c>
      <c r="D21" s="4" t="str">
        <f t="shared" si="15"/>
        <v>2024A</v>
      </c>
      <c r="E21" s="4" t="str">
        <f t="shared" si="15"/>
        <v>2025P</v>
      </c>
      <c r="F21" s="4" t="str">
        <f t="shared" si="15"/>
        <v>2026P</v>
      </c>
      <c r="G21" s="4" t="str">
        <f t="shared" si="15"/>
        <v>2027P</v>
      </c>
      <c r="H21" s="4" t="str">
        <f t="shared" si="15"/>
        <v>2028P</v>
      </c>
      <c r="I21" s="4" t="str">
        <f t="shared" si="15"/>
        <v xml:space="preserve">2029P </v>
      </c>
      <c r="J21" s="4" t="str">
        <f t="shared" si="15"/>
        <v>2030P</v>
      </c>
      <c r="K21" s="4" t="str">
        <f t="shared" si="15"/>
        <v>2031P</v>
      </c>
      <c r="L21" s="4" t="str">
        <f t="shared" si="15"/>
        <v>2032P</v>
      </c>
      <c r="M21" s="4" t="str">
        <f t="shared" si="15"/>
        <v>2033P</v>
      </c>
      <c r="N21" s="4" t="str">
        <f t="shared" si="15"/>
        <v>2034P</v>
      </c>
      <c r="O21" s="5" t="str">
        <f t="shared" si="15"/>
        <v>2035P</v>
      </c>
      <c r="P21" s="6"/>
    </row>
    <row r="22" spans="2:16" ht="22" customHeight="1" x14ac:dyDescent="0.2">
      <c r="B22" s="25" t="s">
        <v>26</v>
      </c>
      <c r="C22" s="26">
        <f t="shared" ref="C22:D22" si="16">C69</f>
        <v>8577</v>
      </c>
      <c r="D22" s="26">
        <f t="shared" si="16"/>
        <v>7041</v>
      </c>
      <c r="E22" s="26">
        <f ca="1">E69</f>
        <v>6586.8850600000005</v>
      </c>
      <c r="F22" s="26">
        <f t="shared" ref="F22:N22" ca="1" si="17">F69</f>
        <v>8530.2960009679991</v>
      </c>
      <c r="G22" s="26">
        <f t="shared" ca="1" si="17"/>
        <v>10199.886823434917</v>
      </c>
      <c r="H22" s="26">
        <f t="shared" ca="1" si="17"/>
        <v>10850.27254878249</v>
      </c>
      <c r="I22" s="26">
        <f t="shared" ca="1" si="17"/>
        <v>11423.166939358205</v>
      </c>
      <c r="J22" s="26">
        <f t="shared" ca="1" si="17"/>
        <v>12144.194640444075</v>
      </c>
      <c r="K22" s="26">
        <f t="shared" ca="1" si="17"/>
        <v>17291.086302002146</v>
      </c>
      <c r="L22" s="26">
        <f t="shared" ca="1" si="17"/>
        <v>23700.859013730969</v>
      </c>
      <c r="M22" s="26">
        <f t="shared" ca="1" si="17"/>
        <v>29717.717946229441</v>
      </c>
      <c r="N22" s="26">
        <f t="shared" ca="1" si="17"/>
        <v>32801.948109540288</v>
      </c>
      <c r="O22" s="27">
        <f ca="1">O69</f>
        <v>35825.885165337706</v>
      </c>
      <c r="P22" s="28"/>
    </row>
    <row r="23" spans="2:16" ht="22" customHeight="1" x14ac:dyDescent="0.2">
      <c r="B23" s="25" t="s">
        <v>27</v>
      </c>
      <c r="C23" s="26">
        <v>1861</v>
      </c>
      <c r="D23" s="14">
        <v>2111</v>
      </c>
      <c r="E23" s="29">
        <f ca="1">D23-E58</f>
        <v>2636.3558847821319</v>
      </c>
      <c r="F23" s="29">
        <f t="shared" ref="F23:N23" ca="1" si="18">E23-F58</f>
        <v>8040.0279089836949</v>
      </c>
      <c r="G23" s="29">
        <f t="shared" ca="1" si="18"/>
        <v>17535.944913521467</v>
      </c>
      <c r="H23" s="29">
        <f t="shared" ca="1" si="18"/>
        <v>26933.321602799922</v>
      </c>
      <c r="I23" s="29">
        <f t="shared" ca="1" si="18"/>
        <v>40401.8199057928</v>
      </c>
      <c r="J23" s="29">
        <f t="shared" ca="1" si="18"/>
        <v>54295.816063189501</v>
      </c>
      <c r="K23" s="29">
        <f t="shared" ca="1" si="18"/>
        <v>71157.95893759231</v>
      </c>
      <c r="L23" s="29">
        <f t="shared" ca="1" si="18"/>
        <v>100860.85898450325</v>
      </c>
      <c r="M23" s="29">
        <f t="shared" ca="1" si="18"/>
        <v>143626.3947542769</v>
      </c>
      <c r="N23" s="29">
        <f t="shared" ca="1" si="18"/>
        <v>198802.54232851992</v>
      </c>
      <c r="O23" s="30">
        <f ca="1">N23-O58</f>
        <v>262339.13091905118</v>
      </c>
      <c r="P23" s="29"/>
    </row>
    <row r="24" spans="2:16" ht="22" customHeight="1" x14ac:dyDescent="0.2">
      <c r="B24" s="25" t="s">
        <v>28</v>
      </c>
      <c r="C24" s="26">
        <f t="shared" ref="C24:E25" si="19">C73</f>
        <v>2443</v>
      </c>
      <c r="D24" s="14">
        <f t="shared" si="19"/>
        <v>6615</v>
      </c>
      <c r="E24" s="26">
        <f>E73</f>
        <v>8662.2050104109585</v>
      </c>
      <c r="F24" s="26">
        <f t="shared" ref="F24:O25" si="20">F73</f>
        <v>10750.510028617204</v>
      </c>
      <c r="G24" s="26">
        <f t="shared" si="20"/>
        <v>12295.753978935241</v>
      </c>
      <c r="H24" s="26">
        <f t="shared" si="20"/>
        <v>12633.878995157696</v>
      </c>
      <c r="I24" s="26">
        <f t="shared" si="20"/>
        <v>12987.984328311384</v>
      </c>
      <c r="J24" s="26">
        <f>J73</f>
        <v>13308.706455281179</v>
      </c>
      <c r="K24" s="26">
        <f t="shared" ref="K24:O24" si="21">K73</f>
        <v>18475.407281591331</v>
      </c>
      <c r="L24" s="26">
        <f t="shared" si="21"/>
        <v>24674.866918404845</v>
      </c>
      <c r="M24" s="26">
        <f t="shared" si="21"/>
        <v>30124.809972890114</v>
      </c>
      <c r="N24" s="26">
        <f t="shared" si="21"/>
        <v>33251.289864465492</v>
      </c>
      <c r="O24" s="27">
        <f t="shared" si="21"/>
        <v>35335.119615127587</v>
      </c>
      <c r="P24" s="28"/>
    </row>
    <row r="25" spans="2:16" ht="22" customHeight="1" x14ac:dyDescent="0.2">
      <c r="B25" s="25" t="s">
        <v>29</v>
      </c>
      <c r="C25" s="26">
        <f t="shared" si="19"/>
        <v>8387</v>
      </c>
      <c r="D25" s="14">
        <f t="shared" si="19"/>
        <v>8875</v>
      </c>
      <c r="E25" s="26">
        <f t="shared" si="19"/>
        <v>7189.6301586410946</v>
      </c>
      <c r="F25" s="26">
        <f t="shared" si="20"/>
        <v>8787.3734146958013</v>
      </c>
      <c r="G25" s="26">
        <f t="shared" si="20"/>
        <v>10375.939664496942</v>
      </c>
      <c r="H25" s="26">
        <f t="shared" si="20"/>
        <v>11444.808030907559</v>
      </c>
      <c r="I25" s="26">
        <f t="shared" si="20"/>
        <v>12290.075772838265</v>
      </c>
      <c r="J25" s="26">
        <f t="shared" si="20"/>
        <v>13654.732823118491</v>
      </c>
      <c r="K25" s="26">
        <f t="shared" si="20"/>
        <v>19801.846778731226</v>
      </c>
      <c r="L25" s="26">
        <f t="shared" si="20"/>
        <v>26428.081146817822</v>
      </c>
      <c r="M25" s="26">
        <f t="shared" si="20"/>
        <v>32827.901029917019</v>
      </c>
      <c r="N25" s="26">
        <f t="shared" si="20"/>
        <v>35093.591059658851</v>
      </c>
      <c r="O25" s="27">
        <f t="shared" si="20"/>
        <v>37788.947366178116</v>
      </c>
      <c r="P25" s="28"/>
    </row>
    <row r="26" spans="2:16" ht="22" customHeight="1" x14ac:dyDescent="0.35">
      <c r="B26" s="25" t="s">
        <v>30</v>
      </c>
      <c r="C26" s="31">
        <v>820</v>
      </c>
      <c r="D26" s="32">
        <v>776</v>
      </c>
      <c r="E26" s="32">
        <f>E76</f>
        <v>988.03275899999983</v>
      </c>
      <c r="F26" s="32">
        <f t="shared" ref="F26:O26" si="22">F76</f>
        <v>1279.5444001451997</v>
      </c>
      <c r="G26" s="32">
        <f t="shared" si="22"/>
        <v>1529.9830235152374</v>
      </c>
      <c r="H26" s="32">
        <f t="shared" si="22"/>
        <v>1627.5408823173736</v>
      </c>
      <c r="I26" s="32">
        <f t="shared" si="22"/>
        <v>1713.4750409037308</v>
      </c>
      <c r="J26" s="32">
        <f t="shared" si="22"/>
        <v>1821.6291960666113</v>
      </c>
      <c r="K26" s="32">
        <f t="shared" si="22"/>
        <v>2593.6629453003216</v>
      </c>
      <c r="L26" s="32">
        <f t="shared" si="22"/>
        <v>3555.1288520596449</v>
      </c>
      <c r="M26" s="32">
        <f t="shared" si="22"/>
        <v>4457.6576919344152</v>
      </c>
      <c r="N26" s="32">
        <f t="shared" si="22"/>
        <v>4920.2922164310421</v>
      </c>
      <c r="O26" s="33">
        <f t="shared" si="22"/>
        <v>5373.8827748006543</v>
      </c>
      <c r="P26" s="34"/>
    </row>
    <row r="27" spans="2:16" ht="22" customHeight="1" x14ac:dyDescent="0.2">
      <c r="B27" s="25" t="s">
        <v>31</v>
      </c>
      <c r="C27" s="465">
        <v>22088</v>
      </c>
      <c r="D27" s="35">
        <v>25418</v>
      </c>
      <c r="E27" s="465">
        <f ca="1">SUM(E22:E26)</f>
        <v>26063.108872834189</v>
      </c>
      <c r="F27" s="465">
        <f t="shared" ref="F27:O27" ca="1" si="23">SUM(F22:F26)</f>
        <v>37387.751753409895</v>
      </c>
      <c r="G27" s="465">
        <f t="shared" ca="1" si="23"/>
        <v>51937.508403903812</v>
      </c>
      <c r="H27" s="465">
        <f t="shared" ca="1" si="23"/>
        <v>63489.822059965038</v>
      </c>
      <c r="I27" s="465">
        <f t="shared" ca="1" si="23"/>
        <v>78816.521987204382</v>
      </c>
      <c r="J27" s="465">
        <f t="shared" ca="1" si="23"/>
        <v>95225.079178099855</v>
      </c>
      <c r="K27" s="465">
        <f t="shared" ca="1" si="23"/>
        <v>129319.96224521735</v>
      </c>
      <c r="L27" s="465">
        <f t="shared" ca="1" si="23"/>
        <v>179219.79491551654</v>
      </c>
      <c r="M27" s="465">
        <f t="shared" ca="1" si="23"/>
        <v>240754.48139524789</v>
      </c>
      <c r="N27" s="465">
        <f t="shared" ca="1" si="23"/>
        <v>304869.66357861558</v>
      </c>
      <c r="O27" s="36">
        <f t="shared" ca="1" si="23"/>
        <v>376662.96584049519</v>
      </c>
      <c r="P27" s="37"/>
    </row>
    <row r="28" spans="2:16" ht="22" customHeight="1" x14ac:dyDescent="0.2">
      <c r="B28" s="25"/>
      <c r="C28" s="26"/>
      <c r="D28" s="14"/>
      <c r="E28" s="26"/>
      <c r="F28" s="26"/>
      <c r="G28" s="26"/>
      <c r="H28" s="26"/>
      <c r="I28" s="26"/>
      <c r="J28" s="26"/>
      <c r="K28" s="14"/>
      <c r="L28" s="14"/>
      <c r="M28" s="14"/>
      <c r="N28" s="14"/>
      <c r="O28" s="15"/>
      <c r="P28" s="16"/>
    </row>
    <row r="29" spans="2:16" ht="22" customHeight="1" x14ac:dyDescent="0.2">
      <c r="B29" s="25" t="s">
        <v>32</v>
      </c>
      <c r="C29" s="26">
        <f>C90</f>
        <v>404</v>
      </c>
      <c r="D29" s="14">
        <f>D90</f>
        <v>416</v>
      </c>
      <c r="E29" s="26">
        <f t="shared" ref="E29:O29" si="24">E90</f>
        <v>424.4</v>
      </c>
      <c r="F29" s="26">
        <f t="shared" si="24"/>
        <v>441.96</v>
      </c>
      <c r="G29" s="26">
        <f t="shared" si="24"/>
        <v>467.76400000000001</v>
      </c>
      <c r="H29" s="26">
        <f t="shared" si="24"/>
        <v>485.98759999999999</v>
      </c>
      <c r="I29" s="26">
        <f t="shared" si="24"/>
        <v>487.38883999999996</v>
      </c>
      <c r="J29" s="26">
        <f t="shared" si="24"/>
        <v>488.64995599999997</v>
      </c>
      <c r="K29" s="26">
        <f t="shared" si="24"/>
        <v>479.78496039999999</v>
      </c>
      <c r="L29" s="26">
        <f t="shared" si="24"/>
        <v>461.80646436000001</v>
      </c>
      <c r="M29" s="26">
        <f t="shared" si="24"/>
        <v>445.62581792399999</v>
      </c>
      <c r="N29" s="26">
        <f t="shared" si="24"/>
        <v>431.06323613159998</v>
      </c>
      <c r="O29" s="27">
        <f t="shared" si="24"/>
        <v>412.95691251843999</v>
      </c>
      <c r="P29" s="28"/>
    </row>
    <row r="30" spans="2:16" ht="22" customHeight="1" x14ac:dyDescent="0.2">
      <c r="B30" s="25" t="s">
        <v>33</v>
      </c>
      <c r="C30" s="26">
        <f>C98</f>
        <v>666</v>
      </c>
      <c r="D30" s="14">
        <f>D98</f>
        <v>645</v>
      </c>
      <c r="E30" s="466">
        <f>E98</f>
        <v>583.73350000000005</v>
      </c>
      <c r="F30" s="466">
        <f t="shared" ref="F30:O30" si="25">F98</f>
        <v>522.20036400000004</v>
      </c>
      <c r="G30" s="466">
        <f t="shared" si="25"/>
        <v>460.66399012600004</v>
      </c>
      <c r="H30" s="466">
        <f t="shared" si="25"/>
        <v>399.43760160278401</v>
      </c>
      <c r="I30" s="466">
        <f t="shared" si="25"/>
        <v>338.89207124165364</v>
      </c>
      <c r="J30" s="466">
        <f t="shared" si="25"/>
        <v>279.46493152590108</v>
      </c>
      <c r="K30" s="466">
        <f t="shared" si="25"/>
        <v>221.67074853911762</v>
      </c>
      <c r="L30" s="466">
        <f t="shared" si="25"/>
        <v>166.11306473198391</v>
      </c>
      <c r="M30" s="466">
        <f t="shared" si="25"/>
        <v>113.49814628678811</v>
      </c>
      <c r="N30" s="466">
        <f t="shared" si="25"/>
        <v>64.650806217543163</v>
      </c>
      <c r="O30" s="38">
        <f t="shared" si="25"/>
        <v>20.53261502949448</v>
      </c>
      <c r="P30" s="29"/>
    </row>
    <row r="31" spans="2:16" ht="22" customHeight="1" x14ac:dyDescent="0.2">
      <c r="B31" s="25" t="s">
        <v>34</v>
      </c>
      <c r="C31" s="26">
        <f>C116</f>
        <v>37928</v>
      </c>
      <c r="D31" s="26">
        <f>D116</f>
        <v>39749</v>
      </c>
      <c r="E31" s="14">
        <f t="shared" ref="E31:O31" si="26">E116</f>
        <v>47401.71</v>
      </c>
      <c r="F31" s="14">
        <f t="shared" si="26"/>
        <v>50473.3338</v>
      </c>
      <c r="G31" s="14">
        <f t="shared" si="26"/>
        <v>52969.200363999989</v>
      </c>
      <c r="H31" s="14">
        <f t="shared" si="26"/>
        <v>58445.668287559994</v>
      </c>
      <c r="I31" s="14">
        <f t="shared" si="26"/>
        <v>62456.534630047994</v>
      </c>
      <c r="J31" s="14">
        <f t="shared" si="26"/>
        <v>66289.793050338878</v>
      </c>
      <c r="K31" s="14">
        <f t="shared" si="26"/>
        <v>68057.630301277881</v>
      </c>
      <c r="L31" s="14">
        <f t="shared" si="26"/>
        <v>68507.256847047858</v>
      </c>
      <c r="M31" s="14">
        <f t="shared" si="26"/>
        <v>67975.95061457924</v>
      </c>
      <c r="N31" s="14">
        <f t="shared" si="26"/>
        <v>66540.279503954982</v>
      </c>
      <c r="O31" s="15">
        <f t="shared" si="26"/>
        <v>65363.029193243085</v>
      </c>
      <c r="P31" s="16"/>
    </row>
    <row r="32" spans="2:16" ht="22" customHeight="1" x14ac:dyDescent="0.2">
      <c r="B32" s="25" t="s">
        <v>35</v>
      </c>
      <c r="C32" s="26">
        <v>1150</v>
      </c>
      <c r="D32" s="14">
        <v>1150</v>
      </c>
      <c r="E32" s="14">
        <v>1150</v>
      </c>
      <c r="F32" s="14">
        <v>1150</v>
      </c>
      <c r="G32" s="14">
        <v>1150</v>
      </c>
      <c r="H32" s="14">
        <v>1150</v>
      </c>
      <c r="I32" s="14">
        <v>1150</v>
      </c>
      <c r="J32" s="14">
        <v>1150</v>
      </c>
      <c r="K32" s="14">
        <v>1150</v>
      </c>
      <c r="L32" s="14">
        <v>1150</v>
      </c>
      <c r="M32" s="14">
        <v>1150</v>
      </c>
      <c r="N32" s="14">
        <v>1150</v>
      </c>
      <c r="O32" s="15">
        <v>1150</v>
      </c>
      <c r="P32" s="16"/>
    </row>
    <row r="33" spans="2:17" ht="22" customHeight="1" x14ac:dyDescent="0.35">
      <c r="B33" s="25" t="s">
        <v>36</v>
      </c>
      <c r="C33" s="31">
        <v>2018</v>
      </c>
      <c r="D33" s="32">
        <v>2038</v>
      </c>
      <c r="E33" s="32">
        <v>2038</v>
      </c>
      <c r="F33" s="32">
        <v>2038</v>
      </c>
      <c r="G33" s="32">
        <v>2038</v>
      </c>
      <c r="H33" s="32">
        <v>2038</v>
      </c>
      <c r="I33" s="32">
        <v>2038</v>
      </c>
      <c r="J33" s="32">
        <v>2038</v>
      </c>
      <c r="K33" s="32">
        <v>2038</v>
      </c>
      <c r="L33" s="32">
        <v>2038</v>
      </c>
      <c r="M33" s="32">
        <v>2038</v>
      </c>
      <c r="N33" s="32">
        <v>2038</v>
      </c>
      <c r="O33" s="33">
        <v>2038</v>
      </c>
      <c r="P33" s="34"/>
    </row>
    <row r="34" spans="2:17" ht="22" customHeight="1" x14ac:dyDescent="0.2">
      <c r="B34" s="452" t="s">
        <v>37</v>
      </c>
      <c r="C34" s="465">
        <v>64254</v>
      </c>
      <c r="D34" s="35">
        <v>69416</v>
      </c>
      <c r="E34" s="465">
        <f ca="1">SUM(E29:E33)+E27</f>
        <v>77660.952372834188</v>
      </c>
      <c r="F34" s="465">
        <f t="shared" ref="F34:O34" ca="1" si="27">SUM(F29:F33)+F27</f>
        <v>92013.245917409891</v>
      </c>
      <c r="G34" s="465">
        <f t="shared" ca="1" si="27"/>
        <v>109023.13675802981</v>
      </c>
      <c r="H34" s="465">
        <f t="shared" ca="1" si="27"/>
        <v>126008.91554912782</v>
      </c>
      <c r="I34" s="465">
        <f t="shared" ca="1" si="27"/>
        <v>145287.33752849401</v>
      </c>
      <c r="J34" s="465">
        <f t="shared" ca="1" si="27"/>
        <v>165470.98711596464</v>
      </c>
      <c r="K34" s="465">
        <f t="shared" ca="1" si="27"/>
        <v>201267.04825543435</v>
      </c>
      <c r="L34" s="465">
        <f t="shared" ca="1" si="27"/>
        <v>251542.97129165637</v>
      </c>
      <c r="M34" s="465">
        <f t="shared" ca="1" si="27"/>
        <v>312477.55597403791</v>
      </c>
      <c r="N34" s="465">
        <f t="shared" ca="1" si="27"/>
        <v>375093.6571249197</v>
      </c>
      <c r="O34" s="36">
        <f t="shared" ca="1" si="27"/>
        <v>445647.48456128623</v>
      </c>
      <c r="P34" s="37"/>
    </row>
    <row r="35" spans="2:17" ht="22" customHeight="1" x14ac:dyDescent="0.2">
      <c r="B35" s="25"/>
      <c r="C35" s="26"/>
      <c r="D35" s="14"/>
      <c r="E35" s="29"/>
      <c r="F35" s="26"/>
      <c r="G35" s="26"/>
      <c r="H35" s="26"/>
      <c r="I35" s="26"/>
      <c r="J35" s="26"/>
      <c r="K35" s="14"/>
      <c r="L35" s="14"/>
      <c r="M35" s="14"/>
      <c r="N35" s="14"/>
      <c r="O35" s="15"/>
      <c r="P35" s="16"/>
    </row>
    <row r="36" spans="2:17" ht="22" customHeight="1" x14ac:dyDescent="0.2">
      <c r="B36" s="25" t="s">
        <v>38</v>
      </c>
      <c r="C36" s="14">
        <f t="shared" ref="C36:O36" si="28">C75</f>
        <v>3892</v>
      </c>
      <c r="D36" s="14">
        <f t="shared" si="28"/>
        <v>7228</v>
      </c>
      <c r="E36" s="14">
        <f>E75</f>
        <v>5846.9883820273963</v>
      </c>
      <c r="F36" s="14">
        <f t="shared" si="28"/>
        <v>7579.1095701751283</v>
      </c>
      <c r="G36" s="14">
        <f t="shared" si="28"/>
        <v>9193.8705887947581</v>
      </c>
      <c r="H36" s="14">
        <f t="shared" si="28"/>
        <v>10553.004807719957</v>
      </c>
      <c r="I36" s="14">
        <f t="shared" si="28"/>
        <v>11492.018904472145</v>
      </c>
      <c r="J36" s="14">
        <f t="shared" si="28"/>
        <v>13115.730211679604</v>
      </c>
      <c r="K36" s="14">
        <f t="shared" si="28"/>
        <v>19020.194932202361</v>
      </c>
      <c r="L36" s="14">
        <f t="shared" si="28"/>
        <v>26428.081146817822</v>
      </c>
      <c r="M36" s="14">
        <f t="shared" si="28"/>
        <v>34195.730239496894</v>
      </c>
      <c r="N36" s="14">
        <f t="shared" si="28"/>
        <v>37070.694781329774</v>
      </c>
      <c r="O36" s="15">
        <f t="shared" si="28"/>
        <v>41027.99999756481</v>
      </c>
      <c r="P36" s="16"/>
    </row>
    <row r="37" spans="2:17" ht="22" customHeight="1" x14ac:dyDescent="0.2">
      <c r="B37" s="25" t="s">
        <v>39</v>
      </c>
      <c r="C37" s="26">
        <f t="shared" ref="C37:O37" si="29">C104</f>
        <v>669</v>
      </c>
      <c r="D37" s="14">
        <f t="shared" si="29"/>
        <v>681</v>
      </c>
      <c r="E37" s="26">
        <f t="shared" si="29"/>
        <v>619.73350000000005</v>
      </c>
      <c r="F37" s="14">
        <f t="shared" si="29"/>
        <v>558.20036400000004</v>
      </c>
      <c r="G37" s="26">
        <f t="shared" si="29"/>
        <v>496.66399012600004</v>
      </c>
      <c r="H37" s="14">
        <f t="shared" si="29"/>
        <v>435.43760160278401</v>
      </c>
      <c r="I37" s="26">
        <f t="shared" si="29"/>
        <v>374.89207124165364</v>
      </c>
      <c r="J37" s="14">
        <f t="shared" si="29"/>
        <v>315.46493152590108</v>
      </c>
      <c r="K37" s="26">
        <f t="shared" si="29"/>
        <v>257.67074853911765</v>
      </c>
      <c r="L37" s="14">
        <f t="shared" si="29"/>
        <v>202.11306473198394</v>
      </c>
      <c r="M37" s="26">
        <f t="shared" si="29"/>
        <v>149.49814628678814</v>
      </c>
      <c r="N37" s="14">
        <f t="shared" si="29"/>
        <v>100.65080621754319</v>
      </c>
      <c r="O37" s="27">
        <f t="shared" si="29"/>
        <v>56.532615029494508</v>
      </c>
      <c r="P37" s="28"/>
    </row>
    <row r="38" spans="2:17" ht="22" customHeight="1" x14ac:dyDescent="0.2">
      <c r="B38" s="25" t="s">
        <v>40</v>
      </c>
      <c r="C38" s="26">
        <v>529</v>
      </c>
      <c r="D38" s="14">
        <v>1518</v>
      </c>
      <c r="E38" s="39">
        <f>E3*E186</f>
        <v>2305.4097710000001</v>
      </c>
      <c r="F38" s="39">
        <f t="shared" ref="F38:O38" si="30">F3*F186</f>
        <v>2985.6036003387999</v>
      </c>
      <c r="G38" s="39">
        <f t="shared" si="30"/>
        <v>3569.9603882022211</v>
      </c>
      <c r="H38" s="39">
        <f t="shared" si="30"/>
        <v>3797.5953920738721</v>
      </c>
      <c r="I38" s="39">
        <f t="shared" si="30"/>
        <v>3998.108428775372</v>
      </c>
      <c r="J38" s="39">
        <f t="shared" si="30"/>
        <v>4250.4681241554263</v>
      </c>
      <c r="K38" s="39">
        <f t="shared" si="30"/>
        <v>6051.8802057007506</v>
      </c>
      <c r="L38" s="39">
        <f t="shared" si="30"/>
        <v>8295.3006548058402</v>
      </c>
      <c r="M38" s="39">
        <f t="shared" si="30"/>
        <v>10401.201281180305</v>
      </c>
      <c r="N38" s="39">
        <f t="shared" si="30"/>
        <v>11480.681838339098</v>
      </c>
      <c r="O38" s="40">
        <f t="shared" si="30"/>
        <v>12539.059807868194</v>
      </c>
      <c r="P38" s="41"/>
    </row>
    <row r="39" spans="2:17" ht="22" customHeight="1" x14ac:dyDescent="0.2">
      <c r="B39" s="25" t="s">
        <v>358</v>
      </c>
      <c r="C39" s="26"/>
      <c r="D39" s="14"/>
      <c r="E39" s="14">
        <f t="shared" ref="E39:N39" si="31">SUM(E36:E38)</f>
        <v>8772.1316530273962</v>
      </c>
      <c r="F39" s="14">
        <f t="shared" si="31"/>
        <v>11122.913534513929</v>
      </c>
      <c r="G39" s="14">
        <f t="shared" si="31"/>
        <v>13260.494967122981</v>
      </c>
      <c r="H39" s="14">
        <f t="shared" si="31"/>
        <v>14786.037801396613</v>
      </c>
      <c r="I39" s="14">
        <f t="shared" si="31"/>
        <v>15865.019404489169</v>
      </c>
      <c r="J39" s="14">
        <f t="shared" si="31"/>
        <v>17681.663267360931</v>
      </c>
      <c r="K39" s="14">
        <f t="shared" si="31"/>
        <v>25329.74588644223</v>
      </c>
      <c r="L39" s="14">
        <f t="shared" si="31"/>
        <v>34925.494866355642</v>
      </c>
      <c r="M39" s="14">
        <f t="shared" si="31"/>
        <v>44746.429666963988</v>
      </c>
      <c r="N39" s="14">
        <f t="shared" si="31"/>
        <v>48652.027425886416</v>
      </c>
      <c r="O39" s="15">
        <f>SUM(O36:O38)</f>
        <v>53623.592420462497</v>
      </c>
      <c r="P39" s="16"/>
    </row>
    <row r="40" spans="2:17" ht="22" customHeight="1" x14ac:dyDescent="0.2">
      <c r="B40" s="25" t="s">
        <v>41</v>
      </c>
      <c r="C40" s="26">
        <v>1714</v>
      </c>
      <c r="D40" s="14">
        <v>1461</v>
      </c>
      <c r="E40" s="467">
        <f ca="1">E34-SUM(E36:E38)-E41-E43</f>
        <v>1840.2130000000179</v>
      </c>
      <c r="F40" s="467">
        <f t="shared" ref="F40:L40" ca="1" si="32">F34-SUM(F36:F38)-F41-F43</f>
        <v>2124.6607889999868</v>
      </c>
      <c r="G40" s="467">
        <f t="shared" ca="1" si="32"/>
        <v>2500.4819788759924</v>
      </c>
      <c r="H40" s="467">
        <f t="shared" ca="1" si="32"/>
        <v>2813.3072304992238</v>
      </c>
      <c r="I40" s="467">
        <f t="shared" ca="1" si="32"/>
        <v>3268.7980031974585</v>
      </c>
      <c r="J40" s="467">
        <f t="shared" ca="1" si="32"/>
        <v>3712.2921119999955</v>
      </c>
      <c r="K40" s="467">
        <f t="shared" ca="1" si="32"/>
        <v>4142.3368648092728</v>
      </c>
      <c r="L40" s="467">
        <f t="shared" ca="1" si="32"/>
        <v>4557.2734571675537</v>
      </c>
      <c r="M40" s="467">
        <f ca="1">M34-SUM(M36:M38)-M41-M43</f>
        <v>5055.2064563126187</v>
      </c>
      <c r="N40" s="467">
        <f t="shared" ref="N40" ca="1" si="33">N34-SUM(N36:N38)-N41-N43</f>
        <v>5533.9687214720179</v>
      </c>
      <c r="O40" s="468">
        <f t="shared" ref="O40" ca="1" si="34">O34-SUM(O36:O38)-O41-O43</f>
        <v>5991.0810762970359</v>
      </c>
      <c r="P40" s="16"/>
      <c r="Q40" s="57"/>
    </row>
    <row r="41" spans="2:17" ht="22" customHeight="1" x14ac:dyDescent="0.35">
      <c r="B41" s="25" t="s">
        <v>42</v>
      </c>
      <c r="C41" s="31">
        <f>C147</f>
        <v>9731</v>
      </c>
      <c r="D41" s="32">
        <f>D147</f>
        <v>13491</v>
      </c>
      <c r="E41" s="32">
        <f ca="1">E147</f>
        <v>13451.750475063462</v>
      </c>
      <c r="F41" s="32">
        <f t="shared" ref="F41:J41" ca="1" si="35">F147</f>
        <v>13215.945136208407</v>
      </c>
      <c r="G41" s="32">
        <f t="shared" ca="1" si="35"/>
        <v>12950.289951724242</v>
      </c>
      <c r="H41" s="32">
        <f t="shared" ca="1" si="35"/>
        <v>12671.59375</v>
      </c>
      <c r="I41" s="32">
        <f t="shared" ca="1" si="35"/>
        <v>13002.411458333334</v>
      </c>
      <c r="J41" s="32">
        <f t="shared" ca="1" si="35"/>
        <v>13299.712239583334</v>
      </c>
      <c r="K41" s="31">
        <f ca="1">K147</f>
        <v>13555.660807291668</v>
      </c>
      <c r="L41" s="32">
        <f ca="1">L147</f>
        <v>13774.44677734375</v>
      </c>
      <c r="M41" s="32">
        <f ca="1">M147</f>
        <v>14061.239176432291</v>
      </c>
      <c r="N41" s="32">
        <f t="shared" ref="N41:O41" ca="1" si="36">N147</f>
        <v>14320.683329264322</v>
      </c>
      <c r="O41" s="33">
        <f t="shared" ca="1" si="36"/>
        <v>14544.278432210285</v>
      </c>
      <c r="P41" s="34"/>
    </row>
    <row r="42" spans="2:17" ht="22" customHeight="1" x14ac:dyDescent="0.2">
      <c r="B42" s="452" t="s">
        <v>43</v>
      </c>
      <c r="C42" s="26">
        <v>20134</v>
      </c>
      <c r="D42" s="14">
        <v>24285</v>
      </c>
      <c r="E42" s="469">
        <f ca="1">E39+E40+E41</f>
        <v>24064.095128090878</v>
      </c>
      <c r="F42" s="469">
        <f t="shared" ref="F42:O42" ca="1" si="37">F39+F40+F41</f>
        <v>26463.519459722324</v>
      </c>
      <c r="G42" s="469">
        <f t="shared" ca="1" si="37"/>
        <v>28711.266897723217</v>
      </c>
      <c r="H42" s="469">
        <f t="shared" ca="1" si="37"/>
        <v>30270.938781895835</v>
      </c>
      <c r="I42" s="469">
        <f t="shared" ca="1" si="37"/>
        <v>32136.228866019963</v>
      </c>
      <c r="J42" s="469">
        <f t="shared" ca="1" si="37"/>
        <v>34693.667618944259</v>
      </c>
      <c r="K42" s="469">
        <f t="shared" ca="1" si="37"/>
        <v>43027.743558543167</v>
      </c>
      <c r="L42" s="469">
        <f t="shared" ca="1" si="37"/>
        <v>53257.215100866946</v>
      </c>
      <c r="M42" s="469">
        <f t="shared" ca="1" si="37"/>
        <v>63862.875299708896</v>
      </c>
      <c r="N42" s="469">
        <f t="shared" ca="1" si="37"/>
        <v>68506.679476622754</v>
      </c>
      <c r="O42" s="42">
        <f t="shared" ca="1" si="37"/>
        <v>74158.951928969822</v>
      </c>
      <c r="P42" s="29"/>
    </row>
    <row r="43" spans="2:17" ht="22" customHeight="1" x14ac:dyDescent="0.2">
      <c r="B43" s="25" t="s">
        <v>44</v>
      </c>
      <c r="C43" s="26">
        <f>C163</f>
        <v>44120</v>
      </c>
      <c r="D43" s="26">
        <f>D163</f>
        <v>45131</v>
      </c>
      <c r="E43" s="26">
        <f ca="1">E163</f>
        <v>53596.857244743318</v>
      </c>
      <c r="F43" s="26">
        <f t="shared" ref="F43:O43" ca="1" si="38">F163</f>
        <v>65549.72645768756</v>
      </c>
      <c r="G43" s="26">
        <f t="shared" ca="1" si="38"/>
        <v>80311.869860306586</v>
      </c>
      <c r="H43" s="26">
        <f t="shared" ca="1" si="38"/>
        <v>95737.976767231987</v>
      </c>
      <c r="I43" s="26">
        <f t="shared" ca="1" si="38"/>
        <v>113151.10866247406</v>
      </c>
      <c r="J43" s="26">
        <f t="shared" ca="1" si="38"/>
        <v>130777.31949702036</v>
      </c>
      <c r="K43" s="26">
        <f ca="1">K163</f>
        <v>158239.30469689119</v>
      </c>
      <c r="L43" s="26">
        <f t="shared" ca="1" si="38"/>
        <v>198285.75619078943</v>
      </c>
      <c r="M43" s="26">
        <f t="shared" ca="1" si="38"/>
        <v>248614.68067432902</v>
      </c>
      <c r="N43" s="26">
        <f t="shared" ca="1" si="38"/>
        <v>306586.97764829692</v>
      </c>
      <c r="O43" s="27">
        <f t="shared" ca="1" si="38"/>
        <v>371488.5326323164</v>
      </c>
      <c r="P43" s="28"/>
    </row>
    <row r="44" spans="2:17" ht="22" customHeight="1" x14ac:dyDescent="0.35">
      <c r="B44" s="452" t="s">
        <v>45</v>
      </c>
      <c r="C44" s="470">
        <f>C42+C43</f>
        <v>64254</v>
      </c>
      <c r="D44" s="470">
        <f>D42+D43</f>
        <v>69416</v>
      </c>
      <c r="E44" s="470">
        <f ca="1">SUM(E42:E43)</f>
        <v>77660.952372834203</v>
      </c>
      <c r="F44" s="470">
        <f t="shared" ref="F44:O44" ca="1" si="39">SUM(F42:F43)</f>
        <v>92013.245917409891</v>
      </c>
      <c r="G44" s="470">
        <f t="shared" ca="1" si="39"/>
        <v>109023.13675802981</v>
      </c>
      <c r="H44" s="470">
        <f t="shared" ca="1" si="39"/>
        <v>126008.91554912782</v>
      </c>
      <c r="I44" s="470">
        <f t="shared" ca="1" si="39"/>
        <v>145287.33752849401</v>
      </c>
      <c r="J44" s="470">
        <f t="shared" ca="1" si="39"/>
        <v>165470.98711596461</v>
      </c>
      <c r="K44" s="470">
        <f ca="1">SUM(K42:K43)</f>
        <v>201267.04825543438</v>
      </c>
      <c r="L44" s="470">
        <f t="shared" ca="1" si="39"/>
        <v>251542.97129165637</v>
      </c>
      <c r="M44" s="470">
        <f t="shared" ca="1" si="39"/>
        <v>312477.55597403791</v>
      </c>
      <c r="N44" s="470">
        <f t="shared" ca="1" si="39"/>
        <v>375093.6571249197</v>
      </c>
      <c r="O44" s="43">
        <f t="shared" ca="1" si="39"/>
        <v>445647.48456128623</v>
      </c>
      <c r="P44" s="44"/>
    </row>
    <row r="45" spans="2:17" ht="22" customHeight="1" thickBot="1" x14ac:dyDescent="0.25">
      <c r="B45" s="45" t="s">
        <v>46</v>
      </c>
      <c r="C45" s="46">
        <f t="shared" ref="C45:O45" si="40">C44-C34</f>
        <v>0</v>
      </c>
      <c r="D45" s="46">
        <f t="shared" si="40"/>
        <v>0</v>
      </c>
      <c r="E45" s="46">
        <f ca="1">E44-E34</f>
        <v>0</v>
      </c>
      <c r="F45" s="46">
        <f ca="1">F44-F34</f>
        <v>0</v>
      </c>
      <c r="G45" s="46">
        <f t="shared" ca="1" si="40"/>
        <v>0</v>
      </c>
      <c r="H45" s="46">
        <f t="shared" ca="1" si="40"/>
        <v>0</v>
      </c>
      <c r="I45" s="46">
        <f t="shared" ca="1" si="40"/>
        <v>0</v>
      </c>
      <c r="J45" s="46">
        <f t="shared" ca="1" si="40"/>
        <v>0</v>
      </c>
      <c r="K45" s="46">
        <f t="shared" ca="1" si="40"/>
        <v>0</v>
      </c>
      <c r="L45" s="46">
        <f t="shared" ca="1" si="40"/>
        <v>0</v>
      </c>
      <c r="M45" s="46">
        <f t="shared" ca="1" si="40"/>
        <v>0</v>
      </c>
      <c r="N45" s="46">
        <f t="shared" ca="1" si="40"/>
        <v>0</v>
      </c>
      <c r="O45" s="47">
        <f t="shared" ca="1" si="40"/>
        <v>0</v>
      </c>
      <c r="P45" s="28"/>
    </row>
    <row r="46" spans="2:17" ht="22" customHeight="1" thickBot="1" x14ac:dyDescent="0.25"/>
    <row r="47" spans="2:17" ht="22" customHeight="1" x14ac:dyDescent="0.2">
      <c r="B47" s="3" t="s">
        <v>47</v>
      </c>
      <c r="C47" s="4" t="s">
        <v>48</v>
      </c>
      <c r="D47" s="4" t="s">
        <v>1</v>
      </c>
      <c r="E47" s="4" t="s">
        <v>2</v>
      </c>
      <c r="F47" s="4" t="s">
        <v>3</v>
      </c>
      <c r="G47" s="4" t="s">
        <v>4</v>
      </c>
      <c r="H47" s="4" t="s">
        <v>5</v>
      </c>
      <c r="I47" s="4" t="s">
        <v>49</v>
      </c>
      <c r="J47" s="4" t="s">
        <v>7</v>
      </c>
      <c r="K47" s="4" t="s">
        <v>8</v>
      </c>
      <c r="L47" s="4" t="s">
        <v>9</v>
      </c>
      <c r="M47" s="4" t="s">
        <v>10</v>
      </c>
      <c r="N47" s="4" t="s">
        <v>11</v>
      </c>
      <c r="O47" s="5" t="s">
        <v>12</v>
      </c>
      <c r="P47" s="6"/>
    </row>
    <row r="48" spans="2:17" ht="22" customHeight="1" x14ac:dyDescent="0.2">
      <c r="B48" s="25" t="s">
        <v>50</v>
      </c>
      <c r="C48" s="48">
        <f t="shared" ref="C48:O48" si="41">C18</f>
        <v>-5833</v>
      </c>
      <c r="D48" s="48">
        <f t="shared" si="41"/>
        <v>778</v>
      </c>
      <c r="E48" s="48">
        <f ca="1">E18</f>
        <v>8224.1448822709244</v>
      </c>
      <c r="F48" s="48">
        <f t="shared" ca="1" si="41"/>
        <v>11488.330250077051</v>
      </c>
      <c r="G48" s="48">
        <f t="shared" ca="1" si="41"/>
        <v>14101.554828318498</v>
      </c>
      <c r="H48" s="48">
        <f t="shared" ca="1" si="41"/>
        <v>14674.873109818247</v>
      </c>
      <c r="I48" s="48">
        <f t="shared" ca="1" si="41"/>
        <v>16639.67957089132</v>
      </c>
      <c r="J48" s="48">
        <f t="shared" ca="1" si="41"/>
        <v>16755.84017038632</v>
      </c>
      <c r="K48" s="48">
        <f t="shared" ca="1" si="41"/>
        <v>25851.714897590529</v>
      </c>
      <c r="L48" s="48">
        <f t="shared" ca="1" si="41"/>
        <v>37665.653702949276</v>
      </c>
      <c r="M48" s="48">
        <f t="shared" ca="1" si="41"/>
        <v>47146.522425981217</v>
      </c>
      <c r="N48" s="48">
        <f t="shared" ca="1" si="41"/>
        <v>54385.392600472493</v>
      </c>
      <c r="O48" s="49">
        <f t="shared" ca="1" si="41"/>
        <v>60919.461529671295</v>
      </c>
      <c r="P48" s="50"/>
    </row>
    <row r="49" spans="2:17" ht="22" customHeight="1" x14ac:dyDescent="0.2">
      <c r="B49" s="25" t="s">
        <v>51</v>
      </c>
      <c r="C49" s="48"/>
      <c r="D49" s="48"/>
      <c r="E49" s="48">
        <f>E115+E89</f>
        <v>8388.89</v>
      </c>
      <c r="F49" s="48">
        <f t="shared" ref="F49:O49" si="42">F115+F89</f>
        <v>10470.816200000001</v>
      </c>
      <c r="G49" s="48">
        <f t="shared" si="42"/>
        <v>11148.329436</v>
      </c>
      <c r="H49" s="48">
        <f t="shared" si="42"/>
        <v>11170.308476439997</v>
      </c>
      <c r="I49" s="48">
        <f t="shared" si="42"/>
        <v>11737.732417512001</v>
      </c>
      <c r="J49" s="48">
        <f t="shared" si="42"/>
        <v>11915.48046370912</v>
      </c>
      <c r="K49" s="48">
        <f t="shared" si="42"/>
        <v>11981.027744660998</v>
      </c>
      <c r="L49" s="48">
        <f t="shared" si="42"/>
        <v>12298.351950270018</v>
      </c>
      <c r="M49" s="48">
        <f t="shared" si="42"/>
        <v>12377.486878904614</v>
      </c>
      <c r="N49" s="48">
        <f t="shared" si="42"/>
        <v>12280.233692416661</v>
      </c>
      <c r="O49" s="49">
        <f t="shared" si="42"/>
        <v>12020.356634325055</v>
      </c>
      <c r="P49" s="50"/>
    </row>
    <row r="50" spans="2:17" ht="22" customHeight="1" x14ac:dyDescent="0.2">
      <c r="B50" s="25" t="s">
        <v>18</v>
      </c>
      <c r="C50" s="48"/>
      <c r="D50" s="48"/>
      <c r="E50" s="48">
        <f>E9</f>
        <v>1053.9016095999998</v>
      </c>
      <c r="F50" s="48">
        <f t="shared" ref="F50:O50" si="43">F9</f>
        <v>1279.5444001451997</v>
      </c>
      <c r="G50" s="48">
        <f t="shared" si="43"/>
        <v>1478.983589398063</v>
      </c>
      <c r="H50" s="48">
        <f t="shared" si="43"/>
        <v>1573.2895195734613</v>
      </c>
      <c r="I50" s="48">
        <f t="shared" si="43"/>
        <v>1599.2433715101488</v>
      </c>
      <c r="J50" s="48">
        <f t="shared" si="43"/>
        <v>1700.1872496621706</v>
      </c>
      <c r="K50" s="51">
        <f t="shared" si="43"/>
        <v>2420.7520822803003</v>
      </c>
      <c r="L50" s="51">
        <f t="shared" si="43"/>
        <v>3199.6159668536807</v>
      </c>
      <c r="M50" s="51">
        <f t="shared" si="43"/>
        <v>4011.8919227409742</v>
      </c>
      <c r="N50" s="51">
        <f t="shared" si="43"/>
        <v>4428.2629947879377</v>
      </c>
      <c r="O50" s="52">
        <f t="shared" si="43"/>
        <v>4836.4944973205884</v>
      </c>
      <c r="P50" s="50"/>
    </row>
    <row r="51" spans="2:17" ht="22" customHeight="1" x14ac:dyDescent="0.2">
      <c r="B51" s="25" t="s">
        <v>52</v>
      </c>
      <c r="C51" s="48"/>
      <c r="D51" s="48"/>
      <c r="E51" s="48">
        <f>-E80</f>
        <v>-547.7362750246557</v>
      </c>
      <c r="F51" s="48">
        <f t="shared" ref="F51:O51" si="44">-F80</f>
        <v>-1626.7780339196179</v>
      </c>
      <c r="G51" s="48">
        <f t="shared" si="44"/>
        <v>-1246.6673908801677</v>
      </c>
      <c r="H51" s="48">
        <f t="shared" si="44"/>
        <v>20.991592838423458</v>
      </c>
      <c r="I51" s="48">
        <f t="shared" si="44"/>
        <v>-206.32563057819243</v>
      </c>
      <c r="J51" s="48">
        <f t="shared" si="44"/>
        <v>23.110530458860012</v>
      </c>
      <c r="K51" s="48">
        <f t="shared" si="44"/>
        <v>-4437.7659120752996</v>
      </c>
      <c r="L51" s="48">
        <f t="shared" si="44"/>
        <v>-4191.4109317460134</v>
      </c>
      <c r="M51" s="48">
        <f t="shared" si="44"/>
        <v>-2931.3569768508969</v>
      </c>
      <c r="N51" s="48">
        <f t="shared" si="44"/>
        <v>-1949.2066868914117</v>
      </c>
      <c r="O51" s="49">
        <f t="shared" si="44"/>
        <v>-261.21162097488559</v>
      </c>
      <c r="P51" s="50"/>
    </row>
    <row r="52" spans="2:17" ht="22" customHeight="1" x14ac:dyDescent="0.2">
      <c r="B52" s="25" t="s">
        <v>53</v>
      </c>
      <c r="C52" s="48"/>
      <c r="D52" s="48"/>
      <c r="E52" s="48">
        <f>-E106</f>
        <v>-146.5205</v>
      </c>
      <c r="F52" s="48">
        <f t="shared" ref="F52:O52" si="45">-F106</f>
        <v>-154.01907499999999</v>
      </c>
      <c r="G52" s="48">
        <f t="shared" si="45"/>
        <v>-162.64243624999997</v>
      </c>
      <c r="H52" s="48">
        <f t="shared" si="45"/>
        <v>-172.55930168749998</v>
      </c>
      <c r="I52" s="48">
        <f t="shared" si="45"/>
        <v>-183.96369694062497</v>
      </c>
      <c r="J52" s="48">
        <f t="shared" si="45"/>
        <v>-197.07875148171871</v>
      </c>
      <c r="K52" s="48">
        <f t="shared" si="45"/>
        <v>-212.16106420397651</v>
      </c>
      <c r="L52" s="48">
        <f t="shared" si="45"/>
        <v>-229.50572383457299</v>
      </c>
      <c r="M52" s="48">
        <f t="shared" si="45"/>
        <v>-249.45208240975893</v>
      </c>
      <c r="N52" s="48">
        <f t="shared" si="45"/>
        <v>-272.39039477122276</v>
      </c>
      <c r="O52" s="49">
        <f t="shared" si="45"/>
        <v>-298.76945398690617</v>
      </c>
      <c r="P52" s="50"/>
    </row>
    <row r="53" spans="2:17" ht="22" customHeight="1" x14ac:dyDescent="0.2">
      <c r="B53" s="53" t="s">
        <v>54</v>
      </c>
      <c r="C53" s="48"/>
      <c r="D53" s="477">
        <v>8507</v>
      </c>
      <c r="E53" s="54">
        <f ca="1">SUM(E48:E52)</f>
        <v>16972.679716846273</v>
      </c>
      <c r="F53" s="54">
        <f t="shared" ref="F53:O53" ca="1" si="46">SUM(F48:F52)</f>
        <v>21457.893741302632</v>
      </c>
      <c r="G53" s="54">
        <f t="shared" ca="1" si="46"/>
        <v>25319.558026586394</v>
      </c>
      <c r="H53" s="54">
        <f t="shared" ca="1" si="46"/>
        <v>27266.903396982627</v>
      </c>
      <c r="I53" s="54">
        <f t="shared" ca="1" si="46"/>
        <v>29586.366032394657</v>
      </c>
      <c r="J53" s="54">
        <f t="shared" ca="1" si="46"/>
        <v>30197.539662734751</v>
      </c>
      <c r="K53" s="54">
        <f t="shared" ca="1" si="46"/>
        <v>35603.56774825255</v>
      </c>
      <c r="L53" s="54">
        <f t="shared" ca="1" si="46"/>
        <v>48742.704964492383</v>
      </c>
      <c r="M53" s="54">
        <f t="shared" ca="1" si="46"/>
        <v>60355.092168366151</v>
      </c>
      <c r="N53" s="54">
        <f t="shared" ca="1" si="46"/>
        <v>68872.292206014448</v>
      </c>
      <c r="O53" s="55">
        <f t="shared" ca="1" si="46"/>
        <v>77216.331586355125</v>
      </c>
      <c r="P53" s="56"/>
    </row>
    <row r="54" spans="2:17" ht="22" customHeight="1" x14ac:dyDescent="0.2">
      <c r="B54" s="2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  <c r="P54" s="16"/>
      <c r="Q54" s="57"/>
    </row>
    <row r="55" spans="2:17" ht="22" customHeight="1" x14ac:dyDescent="0.2">
      <c r="B55" s="25" t="s">
        <v>55</v>
      </c>
      <c r="C55" s="14"/>
      <c r="D55" s="14"/>
      <c r="E55" s="14">
        <f>-E88</f>
        <v>-50</v>
      </c>
      <c r="F55" s="14">
        <f t="shared" ref="F55:O55" si="47">-F88</f>
        <v>-60</v>
      </c>
      <c r="G55" s="14">
        <f t="shared" si="47"/>
        <v>-70</v>
      </c>
      <c r="H55" s="14">
        <f t="shared" si="47"/>
        <v>-65</v>
      </c>
      <c r="I55" s="14">
        <f t="shared" si="47"/>
        <v>-50</v>
      </c>
      <c r="J55" s="14">
        <f t="shared" si="47"/>
        <v>-50</v>
      </c>
      <c r="K55" s="14">
        <f t="shared" si="47"/>
        <v>-40</v>
      </c>
      <c r="L55" s="14">
        <f t="shared" si="47"/>
        <v>-30</v>
      </c>
      <c r="M55" s="14">
        <f t="shared" si="47"/>
        <v>-30</v>
      </c>
      <c r="N55" s="14">
        <f t="shared" si="47"/>
        <v>-30</v>
      </c>
      <c r="O55" s="15">
        <f t="shared" si="47"/>
        <v>-25</v>
      </c>
      <c r="P55" s="16"/>
    </row>
    <row r="56" spans="2:17" ht="22" customHeight="1" x14ac:dyDescent="0.2">
      <c r="B56" s="25" t="s">
        <v>56</v>
      </c>
      <c r="C56" s="14"/>
      <c r="D56" s="14"/>
      <c r="E56" s="14">
        <f>-E113</f>
        <v>-16000</v>
      </c>
      <c r="F56" s="14">
        <f t="shared" ref="F56:O56" si="48">-F113</f>
        <v>-16000</v>
      </c>
      <c r="G56" s="14">
        <f t="shared" si="48"/>
        <v>-16000</v>
      </c>
      <c r="H56" s="14">
        <f t="shared" si="48"/>
        <v>-16000</v>
      </c>
      <c r="I56" s="14">
        <f t="shared" si="48"/>
        <v>-15000</v>
      </c>
      <c r="J56" s="14">
        <f t="shared" si="48"/>
        <v>-15000</v>
      </c>
      <c r="K56" s="14">
        <f t="shared" si="48"/>
        <v>-13000</v>
      </c>
      <c r="L56" s="14">
        <f t="shared" si="48"/>
        <v>-12000</v>
      </c>
      <c r="M56" s="14">
        <f t="shared" si="48"/>
        <v>-11000</v>
      </c>
      <c r="N56" s="14">
        <f t="shared" si="48"/>
        <v>-10000</v>
      </c>
      <c r="O56" s="15">
        <f t="shared" si="48"/>
        <v>-10000</v>
      </c>
      <c r="P56" s="16"/>
      <c r="Q56" s="57"/>
    </row>
    <row r="57" spans="2:17" ht="22" customHeight="1" x14ac:dyDescent="0.2">
      <c r="B57" s="25" t="s">
        <v>57</v>
      </c>
      <c r="C57" s="14"/>
      <c r="D57" s="14"/>
      <c r="E57" s="16">
        <v>500</v>
      </c>
      <c r="F57" s="16">
        <v>3000</v>
      </c>
      <c r="G57" s="16">
        <v>3000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9">
        <v>0</v>
      </c>
      <c r="P57" s="16"/>
      <c r="Q57" s="14"/>
    </row>
    <row r="58" spans="2:17" ht="22" customHeight="1" x14ac:dyDescent="0.2">
      <c r="B58" s="25" t="s">
        <v>58</v>
      </c>
      <c r="C58" s="14"/>
      <c r="D58" s="14"/>
      <c r="E58" s="14">
        <f ca="1">E190-E67-E53-E55-E56-E57-E64</f>
        <v>-525.35588478213185</v>
      </c>
      <c r="F58" s="14">
        <f t="shared" ref="F58:O58" ca="1" si="49">F190-F67-F53-F55-F56-F57-F64</f>
        <v>-5403.6720242015626</v>
      </c>
      <c r="G58" s="14">
        <f t="shared" ca="1" si="49"/>
        <v>-9495.9170045377741</v>
      </c>
      <c r="H58" s="14">
        <f t="shared" ca="1" si="49"/>
        <v>-9397.3766892784552</v>
      </c>
      <c r="I58" s="14">
        <f t="shared" ca="1" si="49"/>
        <v>-13468.498302992874</v>
      </c>
      <c r="J58" s="14">
        <f t="shared" ca="1" si="49"/>
        <v>-13893.996157396699</v>
      </c>
      <c r="K58" s="14">
        <f t="shared" ca="1" si="49"/>
        <v>-16862.142874402813</v>
      </c>
      <c r="L58" s="14">
        <f t="shared" ca="1" si="49"/>
        <v>-29702.900046910938</v>
      </c>
      <c r="M58" s="14">
        <f t="shared" ca="1" si="49"/>
        <v>-42765.53576977364</v>
      </c>
      <c r="N58" s="14">
        <f t="shared" ca="1" si="49"/>
        <v>-55176.147574243034</v>
      </c>
      <c r="O58" s="15">
        <f t="shared" ca="1" si="49"/>
        <v>-63536.588590531275</v>
      </c>
      <c r="P58" s="16"/>
    </row>
    <row r="59" spans="2:17" ht="22" customHeight="1" x14ac:dyDescent="0.2">
      <c r="B59" s="53" t="s">
        <v>59</v>
      </c>
      <c r="C59" s="14"/>
      <c r="D59" s="14"/>
      <c r="E59" s="454">
        <f ca="1">SUM(E55:E58)</f>
        <v>-16075.355884782131</v>
      </c>
      <c r="F59" s="454">
        <f t="shared" ref="F59:O59" ca="1" si="50">SUM(F55:F58)</f>
        <v>-18463.672024201562</v>
      </c>
      <c r="G59" s="454">
        <f t="shared" ca="1" si="50"/>
        <v>-22565.917004537776</v>
      </c>
      <c r="H59" s="454">
        <f t="shared" ca="1" si="50"/>
        <v>-25462.376689278455</v>
      </c>
      <c r="I59" s="454">
        <f t="shared" ca="1" si="50"/>
        <v>-28518.498302992874</v>
      </c>
      <c r="J59" s="454">
        <f t="shared" ca="1" si="50"/>
        <v>-28943.996157396701</v>
      </c>
      <c r="K59" s="454">
        <f t="shared" ca="1" si="50"/>
        <v>-29902.142874402813</v>
      </c>
      <c r="L59" s="454">
        <f t="shared" ca="1" si="50"/>
        <v>-41732.900046910938</v>
      </c>
      <c r="M59" s="454">
        <f t="shared" ca="1" si="50"/>
        <v>-53795.53576977364</v>
      </c>
      <c r="N59" s="454">
        <f t="shared" ca="1" si="50"/>
        <v>-65206.147574243034</v>
      </c>
      <c r="O59" s="58">
        <f t="shared" ca="1" si="50"/>
        <v>-73561.588590531275</v>
      </c>
      <c r="P59" s="59"/>
    </row>
    <row r="60" spans="2:17" ht="22" customHeight="1" x14ac:dyDescent="0.2">
      <c r="B60" s="2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P60" s="16"/>
    </row>
    <row r="61" spans="2:17" ht="22" customHeight="1" x14ac:dyDescent="0.35">
      <c r="B61" s="60" t="s">
        <v>60</v>
      </c>
      <c r="C61" s="32"/>
      <c r="D61" s="32"/>
      <c r="E61" s="14">
        <f ca="1">E122+E123+E135+E136+E128+E129+E141</f>
        <v>-539.24952493654041</v>
      </c>
      <c r="F61" s="14">
        <f t="shared" ref="F61:O61" ca="1" si="51">F122+F123+F135+F136+F128+F129+F141+F143</f>
        <v>-235.80533885505361</v>
      </c>
      <c r="G61" s="14">
        <f t="shared" ca="1" si="51"/>
        <v>-265.65518448416412</v>
      </c>
      <c r="H61" s="14">
        <f t="shared" ca="1" si="51"/>
        <v>-332.08525989028783</v>
      </c>
      <c r="I61" s="14">
        <f t="shared" ca="1" si="51"/>
        <v>330.81770833333331</v>
      </c>
      <c r="J61" s="14">
        <f t="shared" ca="1" si="51"/>
        <v>297.30078125</v>
      </c>
      <c r="K61" s="14">
        <f t="shared" ca="1" si="51"/>
        <v>255.94856770833331</v>
      </c>
      <c r="L61" s="14">
        <f t="shared" ca="1" si="51"/>
        <v>218.78597005208331</v>
      </c>
      <c r="M61" s="14">
        <f t="shared" ca="1" si="51"/>
        <v>286.79239908854163</v>
      </c>
      <c r="N61" s="14">
        <f t="shared" ca="1" si="51"/>
        <v>259.44415283203125</v>
      </c>
      <c r="O61" s="15">
        <f t="shared" ca="1" si="51"/>
        <v>223.59510294596362</v>
      </c>
      <c r="P61" s="16"/>
      <c r="Q61" s="57"/>
    </row>
    <row r="62" spans="2:17" ht="22" customHeight="1" x14ac:dyDescent="0.35">
      <c r="B62" s="60" t="s">
        <v>61</v>
      </c>
      <c r="C62" s="32"/>
      <c r="D62" s="32"/>
      <c r="E62" s="14">
        <f>E162</f>
        <v>-512.18924712759997</v>
      </c>
      <c r="F62" s="14">
        <f t="shared" ref="F62:J62" si="52">F162</f>
        <v>-515.00543727801744</v>
      </c>
      <c r="G62" s="14">
        <f t="shared" si="52"/>
        <v>-518.39501509753688</v>
      </c>
      <c r="H62" s="14">
        <f t="shared" si="52"/>
        <v>-522.0557224663105</v>
      </c>
      <c r="I62" s="14">
        <f t="shared" si="52"/>
        <v>-525.79104715940218</v>
      </c>
      <c r="J62" s="14">
        <f t="shared" si="52"/>
        <v>-529.81658550218094</v>
      </c>
      <c r="K62" s="14">
        <f>K162</f>
        <v>-510.48178000000001</v>
      </c>
      <c r="L62" s="14">
        <f>L162</f>
        <v>-518.81817590470428</v>
      </c>
      <c r="M62" s="14">
        <f>M162</f>
        <v>-529.48986518258459</v>
      </c>
      <c r="N62" s="14">
        <f>N162</f>
        <v>-541.35862129259999</v>
      </c>
      <c r="O62" s="15">
        <f>O162</f>
        <v>-554.40104297239668</v>
      </c>
      <c r="P62" s="16"/>
    </row>
    <row r="63" spans="2:17" ht="22" customHeight="1" x14ac:dyDescent="0.35">
      <c r="B63" s="60" t="s">
        <v>62</v>
      </c>
      <c r="C63" s="32"/>
      <c r="D63" s="32"/>
      <c r="E63" s="14">
        <f>E159</f>
        <v>-300</v>
      </c>
      <c r="F63" s="14">
        <f t="shared" ref="F63:J63" si="53">F159</f>
        <v>-300</v>
      </c>
      <c r="G63" s="14">
        <f t="shared" si="53"/>
        <v>-300</v>
      </c>
      <c r="H63" s="14">
        <f t="shared" si="53"/>
        <v>-300</v>
      </c>
      <c r="I63" s="14">
        <f t="shared" si="53"/>
        <v>-300</v>
      </c>
      <c r="J63" s="14">
        <f t="shared" si="53"/>
        <v>-300</v>
      </c>
      <c r="K63" s="14">
        <f>K159</f>
        <v>-300</v>
      </c>
      <c r="L63" s="14">
        <f>L159</f>
        <v>-300</v>
      </c>
      <c r="M63" s="14">
        <f>M159</f>
        <v>-300</v>
      </c>
      <c r="N63" s="14">
        <f>N159</f>
        <v>-300</v>
      </c>
      <c r="O63" s="15">
        <f>O159</f>
        <v>-300</v>
      </c>
      <c r="P63" s="16"/>
    </row>
    <row r="64" spans="2:17" ht="22" customHeight="1" x14ac:dyDescent="0.35">
      <c r="B64" s="61" t="s">
        <v>63</v>
      </c>
      <c r="C64" s="32"/>
      <c r="D64" s="32"/>
      <c r="E64" s="35">
        <f t="shared" ref="E64:O64" ca="1" si="54">SUM(E61:E63)</f>
        <v>-1351.4387720641403</v>
      </c>
      <c r="F64" s="35">
        <f t="shared" ca="1" si="54"/>
        <v>-1050.8107761330712</v>
      </c>
      <c r="G64" s="35">
        <f t="shared" ca="1" si="54"/>
        <v>-1084.050199581701</v>
      </c>
      <c r="H64" s="35">
        <f t="shared" ca="1" si="54"/>
        <v>-1154.1409823565982</v>
      </c>
      <c r="I64" s="35">
        <f t="shared" ca="1" si="54"/>
        <v>-494.97333882606887</v>
      </c>
      <c r="J64" s="35">
        <f t="shared" ca="1" si="54"/>
        <v>-532.51580425218094</v>
      </c>
      <c r="K64" s="35">
        <f t="shared" ca="1" si="54"/>
        <v>-554.5332122916667</v>
      </c>
      <c r="L64" s="35">
        <f t="shared" ca="1" si="54"/>
        <v>-600.03220585262102</v>
      </c>
      <c r="M64" s="35">
        <f t="shared" ca="1" si="54"/>
        <v>-542.69746609404297</v>
      </c>
      <c r="N64" s="35">
        <f t="shared" ca="1" si="54"/>
        <v>-581.91446846056874</v>
      </c>
      <c r="O64" s="62">
        <f t="shared" ca="1" si="54"/>
        <v>-630.80594002643306</v>
      </c>
      <c r="P64" s="59"/>
    </row>
    <row r="65" spans="2:16" ht="22" customHeight="1" x14ac:dyDescent="0.35">
      <c r="B65" s="60"/>
      <c r="C65" s="32"/>
      <c r="D65" s="32"/>
      <c r="E65" s="32"/>
      <c r="F65" s="32"/>
      <c r="G65" s="32"/>
      <c r="H65" s="32"/>
      <c r="I65" s="32"/>
      <c r="J65" s="14"/>
      <c r="K65" s="14"/>
      <c r="L65" s="14"/>
      <c r="M65" s="14"/>
      <c r="N65" s="14"/>
      <c r="O65" s="15"/>
      <c r="P65" s="16"/>
    </row>
    <row r="66" spans="2:16" ht="22" customHeight="1" x14ac:dyDescent="0.2">
      <c r="B66" s="25" t="s">
        <v>64</v>
      </c>
      <c r="C66" s="14"/>
      <c r="D66" s="14"/>
      <c r="E66" s="14">
        <f ca="1">E64+E59+E53</f>
        <v>-454.11493999999948</v>
      </c>
      <c r="F66" s="14">
        <f t="shared" ref="F66:N66" ca="1" si="55">F64+F59+F53</f>
        <v>1943.4109409679986</v>
      </c>
      <c r="G66" s="14">
        <f t="shared" ca="1" si="55"/>
        <v>1669.5908224669183</v>
      </c>
      <c r="H66" s="14">
        <f t="shared" ca="1" si="55"/>
        <v>650.38572534757259</v>
      </c>
      <c r="I66" s="14">
        <f t="shared" ca="1" si="55"/>
        <v>572.89439057571508</v>
      </c>
      <c r="J66" s="14">
        <f t="shared" ca="1" si="55"/>
        <v>721.02770108586992</v>
      </c>
      <c r="K66" s="14">
        <f t="shared" ca="1" si="55"/>
        <v>5146.8916615580711</v>
      </c>
      <c r="L66" s="14">
        <f t="shared" ca="1" si="55"/>
        <v>6409.7727117288232</v>
      </c>
      <c r="M66" s="14">
        <f t="shared" ca="1" si="55"/>
        <v>6016.8589324984714</v>
      </c>
      <c r="N66" s="14">
        <f t="shared" ca="1" si="55"/>
        <v>3084.2301633108436</v>
      </c>
      <c r="O66" s="15">
        <f ca="1">O64+O59+O53</f>
        <v>3023.937055797418</v>
      </c>
      <c r="P66" s="16"/>
    </row>
    <row r="67" spans="2:16" ht="22" customHeight="1" x14ac:dyDescent="0.2">
      <c r="B67" s="25" t="s">
        <v>65</v>
      </c>
      <c r="C67" s="51"/>
      <c r="D67" s="8"/>
      <c r="E67" s="8">
        <f>D69</f>
        <v>7041</v>
      </c>
      <c r="F67" s="8">
        <f ca="1">E69</f>
        <v>6586.8850600000005</v>
      </c>
      <c r="G67" s="8">
        <f t="shared" ref="G67:J67" ca="1" si="56">F69</f>
        <v>8530.2960009679991</v>
      </c>
      <c r="H67" s="8">
        <f t="shared" ca="1" si="56"/>
        <v>10199.886823434917</v>
      </c>
      <c r="I67" s="8">
        <f t="shared" ca="1" si="56"/>
        <v>10850.27254878249</v>
      </c>
      <c r="J67" s="8">
        <f t="shared" ca="1" si="56"/>
        <v>11423.166939358205</v>
      </c>
      <c r="K67" s="8">
        <f ca="1">J69</f>
        <v>12144.194640444075</v>
      </c>
      <c r="L67" s="8">
        <f ca="1">K69</f>
        <v>17291.086302002146</v>
      </c>
      <c r="M67" s="8">
        <f ca="1">L69</f>
        <v>23700.859013730969</v>
      </c>
      <c r="N67" s="8">
        <f ca="1">M69</f>
        <v>29717.717946229441</v>
      </c>
      <c r="O67" s="9">
        <f ca="1">N69</f>
        <v>32801.948109540288</v>
      </c>
      <c r="P67" s="10"/>
    </row>
    <row r="68" spans="2:16" ht="22" customHeight="1" x14ac:dyDescent="0.2">
      <c r="B68" s="25" t="s">
        <v>66</v>
      </c>
      <c r="C68" s="51"/>
      <c r="D68" s="8"/>
      <c r="E68" s="8">
        <f ca="1">E66</f>
        <v>-454.11493999999948</v>
      </c>
      <c r="F68" s="8">
        <f t="shared" ref="F68:J68" ca="1" si="57">F66</f>
        <v>1943.4109409679986</v>
      </c>
      <c r="G68" s="8">
        <f t="shared" ca="1" si="57"/>
        <v>1669.5908224669183</v>
      </c>
      <c r="H68" s="8">
        <f t="shared" ca="1" si="57"/>
        <v>650.38572534757259</v>
      </c>
      <c r="I68" s="8">
        <f t="shared" ca="1" si="57"/>
        <v>572.89439057571508</v>
      </c>
      <c r="J68" s="8">
        <f t="shared" ca="1" si="57"/>
        <v>721.02770108586992</v>
      </c>
      <c r="K68" s="8">
        <f ca="1">K66</f>
        <v>5146.8916615580711</v>
      </c>
      <c r="L68" s="8">
        <f ca="1">L66</f>
        <v>6409.7727117288232</v>
      </c>
      <c r="M68" s="8">
        <f ca="1">M66</f>
        <v>6016.8589324984714</v>
      </c>
      <c r="N68" s="8">
        <f ca="1">N66</f>
        <v>3084.2301633108436</v>
      </c>
      <c r="O68" s="9">
        <f ca="1">O66</f>
        <v>3023.937055797418</v>
      </c>
      <c r="P68" s="10"/>
    </row>
    <row r="69" spans="2:16" ht="22" customHeight="1" x14ac:dyDescent="0.2">
      <c r="B69" s="53" t="s">
        <v>67</v>
      </c>
      <c r="C69" s="63">
        <v>8577</v>
      </c>
      <c r="D69" s="63">
        <v>7041</v>
      </c>
      <c r="E69" s="63">
        <f ca="1">SUM(E67:E68)</f>
        <v>6586.8850600000005</v>
      </c>
      <c r="F69" s="63">
        <f t="shared" ref="F69:J69" ca="1" si="58">SUM(F67:F68)</f>
        <v>8530.2960009679991</v>
      </c>
      <c r="G69" s="63">
        <f t="shared" ca="1" si="58"/>
        <v>10199.886823434917</v>
      </c>
      <c r="H69" s="63">
        <f t="shared" ca="1" si="58"/>
        <v>10850.27254878249</v>
      </c>
      <c r="I69" s="63">
        <f t="shared" ca="1" si="58"/>
        <v>11423.166939358205</v>
      </c>
      <c r="J69" s="63">
        <f t="shared" ca="1" si="58"/>
        <v>12144.194640444075</v>
      </c>
      <c r="K69" s="63">
        <f ca="1">SUM(K67:K68)</f>
        <v>17291.086302002146</v>
      </c>
      <c r="L69" s="63">
        <f ca="1">SUM(L67:L68)</f>
        <v>23700.859013730969</v>
      </c>
      <c r="M69" s="63">
        <f ca="1">SUM(M67:M68)</f>
        <v>29717.717946229441</v>
      </c>
      <c r="N69" s="63">
        <f ca="1">SUM(N67:N68)</f>
        <v>32801.948109540288</v>
      </c>
      <c r="O69" s="64">
        <f ca="1">SUM(O67:O68)</f>
        <v>35825.885165337706</v>
      </c>
      <c r="P69" s="56"/>
    </row>
    <row r="70" spans="2:16" ht="22" customHeight="1" thickBot="1" x14ac:dyDescent="0.25">
      <c r="B70" s="65" t="s">
        <v>68</v>
      </c>
      <c r="C70" s="66"/>
      <c r="D70" s="67">
        <f>D69+D23</f>
        <v>9152</v>
      </c>
      <c r="E70" s="67">
        <f ca="1">E22+E23</f>
        <v>9223.2409447821319</v>
      </c>
      <c r="F70" s="67">
        <f t="shared" ref="F70:O70" ca="1" si="59">F22+F23</f>
        <v>16570.323909951694</v>
      </c>
      <c r="G70" s="67">
        <f t="shared" ca="1" si="59"/>
        <v>27735.831736956385</v>
      </c>
      <c r="H70" s="67">
        <f t="shared" ca="1" si="59"/>
        <v>37783.594151582409</v>
      </c>
      <c r="I70" s="67">
        <f t="shared" ca="1" si="59"/>
        <v>51824.986845151005</v>
      </c>
      <c r="J70" s="67">
        <f t="shared" ca="1" si="59"/>
        <v>66440.010703633568</v>
      </c>
      <c r="K70" s="67">
        <f t="shared" ca="1" si="59"/>
        <v>88449.045239594459</v>
      </c>
      <c r="L70" s="67">
        <f t="shared" ca="1" si="59"/>
        <v>124561.71799823422</v>
      </c>
      <c r="M70" s="67">
        <f t="shared" ca="1" si="59"/>
        <v>173344.11270050635</v>
      </c>
      <c r="N70" s="67">
        <f t="shared" ca="1" si="59"/>
        <v>231604.49043806019</v>
      </c>
      <c r="O70" s="68">
        <f t="shared" ca="1" si="59"/>
        <v>298165.01608438889</v>
      </c>
      <c r="P70" s="56"/>
    </row>
    <row r="71" spans="2:16" ht="22" customHeight="1" x14ac:dyDescent="0.2">
      <c r="C71" s="14"/>
      <c r="D71" s="14"/>
      <c r="E71" s="14"/>
      <c r="F71" s="14"/>
      <c r="G71" s="14"/>
      <c r="H71" s="14"/>
      <c r="I71" s="14"/>
      <c r="J71" s="14"/>
    </row>
    <row r="72" spans="2:16" ht="22" customHeight="1" x14ac:dyDescent="0.2">
      <c r="B72" s="69" t="s">
        <v>69</v>
      </c>
      <c r="C72" s="70" t="s">
        <v>0</v>
      </c>
      <c r="D72" s="70" t="s">
        <v>1</v>
      </c>
      <c r="E72" s="70" t="s">
        <v>2</v>
      </c>
      <c r="F72" s="70" t="s">
        <v>3</v>
      </c>
      <c r="G72" s="70" t="s">
        <v>4</v>
      </c>
      <c r="H72" s="70" t="s">
        <v>5</v>
      </c>
      <c r="I72" s="70" t="s">
        <v>49</v>
      </c>
      <c r="J72" s="71" t="s">
        <v>7</v>
      </c>
      <c r="K72" s="71" t="s">
        <v>8</v>
      </c>
      <c r="L72" s="71" t="s">
        <v>9</v>
      </c>
      <c r="M72" s="71" t="s">
        <v>10</v>
      </c>
      <c r="N72" s="71" t="s">
        <v>11</v>
      </c>
      <c r="O72" s="72" t="s">
        <v>12</v>
      </c>
      <c r="P72" s="73"/>
    </row>
    <row r="73" spans="2:16" ht="22" customHeight="1" x14ac:dyDescent="0.2">
      <c r="B73" s="74" t="s">
        <v>28</v>
      </c>
      <c r="C73" s="51">
        <v>2443</v>
      </c>
      <c r="D73" s="51">
        <v>6615</v>
      </c>
      <c r="E73" s="51">
        <f t="shared" ref="E73:O74" si="60">(E3/365)*E82</f>
        <v>8662.2050104109585</v>
      </c>
      <c r="F73" s="51">
        <f t="shared" si="60"/>
        <v>10750.510028617204</v>
      </c>
      <c r="G73" s="51">
        <f t="shared" si="60"/>
        <v>12295.753978935241</v>
      </c>
      <c r="H73" s="51">
        <f t="shared" si="60"/>
        <v>12633.878995157696</v>
      </c>
      <c r="I73" s="51">
        <f t="shared" si="60"/>
        <v>12987.984328311384</v>
      </c>
      <c r="J73" s="51">
        <f t="shared" si="60"/>
        <v>13308.706455281179</v>
      </c>
      <c r="K73" s="51">
        <f t="shared" si="60"/>
        <v>18475.407281591331</v>
      </c>
      <c r="L73" s="51">
        <f t="shared" si="60"/>
        <v>24674.866918404845</v>
      </c>
      <c r="M73" s="51">
        <f t="shared" si="60"/>
        <v>30124.809972890114</v>
      </c>
      <c r="N73" s="51">
        <f t="shared" si="60"/>
        <v>33251.289864465492</v>
      </c>
      <c r="O73" s="75">
        <f t="shared" si="60"/>
        <v>35335.119615127587</v>
      </c>
      <c r="P73" s="50"/>
    </row>
    <row r="74" spans="2:16" ht="22" customHeight="1" x14ac:dyDescent="0.2">
      <c r="B74" s="74" t="s">
        <v>70</v>
      </c>
      <c r="C74" s="51">
        <v>8387</v>
      </c>
      <c r="D74" s="51">
        <v>8875</v>
      </c>
      <c r="E74" s="51">
        <f t="shared" si="60"/>
        <v>7189.6301586410946</v>
      </c>
      <c r="F74" s="51">
        <f t="shared" si="60"/>
        <v>8787.3734146958013</v>
      </c>
      <c r="G74" s="51">
        <f t="shared" si="60"/>
        <v>10375.939664496942</v>
      </c>
      <c r="H74" s="51">
        <f t="shared" si="60"/>
        <v>11444.808030907559</v>
      </c>
      <c r="I74" s="51">
        <f t="shared" si="60"/>
        <v>12290.075772838265</v>
      </c>
      <c r="J74" s="51">
        <f t="shared" si="60"/>
        <v>13654.732823118491</v>
      </c>
      <c r="K74" s="51">
        <f t="shared" si="60"/>
        <v>19801.846778731226</v>
      </c>
      <c r="L74" s="51">
        <f t="shared" si="60"/>
        <v>26428.081146817822</v>
      </c>
      <c r="M74" s="51">
        <f t="shared" si="60"/>
        <v>32827.901029917019</v>
      </c>
      <c r="N74" s="51">
        <f t="shared" si="60"/>
        <v>35093.591059658851</v>
      </c>
      <c r="O74" s="75">
        <f t="shared" si="60"/>
        <v>37788.947366178116</v>
      </c>
      <c r="P74" s="50"/>
    </row>
    <row r="75" spans="2:16" ht="22" customHeight="1" x14ac:dyDescent="0.35">
      <c r="B75" s="74" t="s">
        <v>71</v>
      </c>
      <c r="C75" s="76">
        <v>3892</v>
      </c>
      <c r="D75" s="51">
        <v>7228</v>
      </c>
      <c r="E75" s="51">
        <f>(E4/365)*E84</f>
        <v>5846.9883820273963</v>
      </c>
      <c r="F75" s="51">
        <f t="shared" ref="F75:O75" si="61">(F4/365)*F84</f>
        <v>7579.1095701751283</v>
      </c>
      <c r="G75" s="51">
        <f t="shared" si="61"/>
        <v>9193.8705887947581</v>
      </c>
      <c r="H75" s="51">
        <f t="shared" si="61"/>
        <v>10553.004807719957</v>
      </c>
      <c r="I75" s="51">
        <f t="shared" si="61"/>
        <v>11492.018904472145</v>
      </c>
      <c r="J75" s="51">
        <f t="shared" si="61"/>
        <v>13115.730211679604</v>
      </c>
      <c r="K75" s="51">
        <f t="shared" si="61"/>
        <v>19020.194932202361</v>
      </c>
      <c r="L75" s="51">
        <f t="shared" si="61"/>
        <v>26428.081146817822</v>
      </c>
      <c r="M75" s="51">
        <f t="shared" si="61"/>
        <v>34195.730239496894</v>
      </c>
      <c r="N75" s="51">
        <f t="shared" si="61"/>
        <v>37070.694781329774</v>
      </c>
      <c r="O75" s="75">
        <f t="shared" si="61"/>
        <v>41027.99999756481</v>
      </c>
      <c r="P75" s="50"/>
    </row>
    <row r="76" spans="2:16" ht="22" customHeight="1" x14ac:dyDescent="0.35">
      <c r="B76" s="74" t="s">
        <v>72</v>
      </c>
      <c r="C76" s="76"/>
      <c r="D76" s="51">
        <f>D26</f>
        <v>776</v>
      </c>
      <c r="E76" s="51">
        <f t="shared" ref="E76:O76" si="62">E3*E185</f>
        <v>988.03275899999983</v>
      </c>
      <c r="F76" s="51">
        <f t="shared" si="62"/>
        <v>1279.5444001451997</v>
      </c>
      <c r="G76" s="51">
        <f t="shared" si="62"/>
        <v>1529.9830235152374</v>
      </c>
      <c r="H76" s="51">
        <f t="shared" si="62"/>
        <v>1627.5408823173736</v>
      </c>
      <c r="I76" s="51">
        <f t="shared" si="62"/>
        <v>1713.4750409037308</v>
      </c>
      <c r="J76" s="51">
        <f t="shared" si="62"/>
        <v>1821.6291960666113</v>
      </c>
      <c r="K76" s="51">
        <f t="shared" si="62"/>
        <v>2593.6629453003216</v>
      </c>
      <c r="L76" s="51">
        <f t="shared" si="62"/>
        <v>3555.1288520596449</v>
      </c>
      <c r="M76" s="51">
        <f t="shared" si="62"/>
        <v>4457.6576919344152</v>
      </c>
      <c r="N76" s="51">
        <f t="shared" si="62"/>
        <v>4920.2922164310421</v>
      </c>
      <c r="O76" s="75">
        <f t="shared" si="62"/>
        <v>5373.8827748006543</v>
      </c>
      <c r="P76" s="50"/>
    </row>
    <row r="77" spans="2:16" ht="22" customHeight="1" x14ac:dyDescent="0.35">
      <c r="B77" s="74" t="s">
        <v>40</v>
      </c>
      <c r="C77" s="76"/>
      <c r="D77" s="51">
        <f>D38</f>
        <v>1518</v>
      </c>
      <c r="E77" s="51">
        <f t="shared" ref="E77:O77" si="63">E3*E186</f>
        <v>2305.4097710000001</v>
      </c>
      <c r="F77" s="51">
        <f t="shared" si="63"/>
        <v>2985.6036003387999</v>
      </c>
      <c r="G77" s="51">
        <f t="shared" si="63"/>
        <v>3569.9603882022211</v>
      </c>
      <c r="H77" s="51">
        <f t="shared" si="63"/>
        <v>3797.5953920738721</v>
      </c>
      <c r="I77" s="51">
        <f t="shared" si="63"/>
        <v>3998.108428775372</v>
      </c>
      <c r="J77" s="51">
        <f t="shared" si="63"/>
        <v>4250.4681241554263</v>
      </c>
      <c r="K77" s="51">
        <f t="shared" si="63"/>
        <v>6051.8802057007506</v>
      </c>
      <c r="L77" s="51">
        <f t="shared" si="63"/>
        <v>8295.3006548058402</v>
      </c>
      <c r="M77" s="51">
        <f t="shared" si="63"/>
        <v>10401.201281180305</v>
      </c>
      <c r="N77" s="51">
        <f t="shared" si="63"/>
        <v>11480.681838339098</v>
      </c>
      <c r="O77" s="75">
        <f t="shared" si="63"/>
        <v>12539.059807868194</v>
      </c>
      <c r="P77" s="50"/>
    </row>
    <row r="78" spans="2:16" ht="22" customHeight="1" x14ac:dyDescent="0.35">
      <c r="B78" s="74" t="s">
        <v>39</v>
      </c>
      <c r="C78" s="76"/>
      <c r="D78" s="76"/>
      <c r="E78" s="76">
        <f>E104</f>
        <v>619.73350000000005</v>
      </c>
      <c r="F78" s="76">
        <f t="shared" ref="F78:O78" si="64">F104</f>
        <v>558.20036400000004</v>
      </c>
      <c r="G78" s="76">
        <f t="shared" si="64"/>
        <v>496.66399012600004</v>
      </c>
      <c r="H78" s="76">
        <f t="shared" si="64"/>
        <v>435.43760160278401</v>
      </c>
      <c r="I78" s="76">
        <f t="shared" si="64"/>
        <v>374.89207124165364</v>
      </c>
      <c r="J78" s="76">
        <f t="shared" si="64"/>
        <v>315.46493152590108</v>
      </c>
      <c r="K78" s="76">
        <f t="shared" si="64"/>
        <v>257.67074853911765</v>
      </c>
      <c r="L78" s="76">
        <f t="shared" si="64"/>
        <v>202.11306473198394</v>
      </c>
      <c r="M78" s="76">
        <f t="shared" si="64"/>
        <v>149.49814628678814</v>
      </c>
      <c r="N78" s="76">
        <f t="shared" si="64"/>
        <v>100.65080621754319</v>
      </c>
      <c r="O78" s="77">
        <f t="shared" si="64"/>
        <v>56.532615029494508</v>
      </c>
      <c r="P78" s="78"/>
    </row>
    <row r="79" spans="2:16" ht="22" customHeight="1" x14ac:dyDescent="0.2">
      <c r="B79" s="74" t="s">
        <v>73</v>
      </c>
      <c r="C79" s="51"/>
      <c r="D79" s="51">
        <f>D73+D74-D75+D76-D77</f>
        <v>7520</v>
      </c>
      <c r="E79" s="51">
        <f>E73+E74-E75+E76-E77-E78</f>
        <v>8067.7362750246557</v>
      </c>
      <c r="F79" s="51">
        <f t="shared" ref="F79:O79" si="65">F73+F74-F75+F76-F77-F78</f>
        <v>9694.5143089442736</v>
      </c>
      <c r="G79" s="51">
        <f t="shared" si="65"/>
        <v>10941.181699824441</v>
      </c>
      <c r="H79" s="51">
        <f t="shared" si="65"/>
        <v>10920.190106986018</v>
      </c>
      <c r="I79" s="51">
        <f t="shared" si="65"/>
        <v>11126.51573756421</v>
      </c>
      <c r="J79" s="51">
        <f t="shared" si="65"/>
        <v>11103.40520710535</v>
      </c>
      <c r="K79" s="51">
        <f t="shared" si="65"/>
        <v>15541.17111918065</v>
      </c>
      <c r="L79" s="51">
        <f t="shared" si="65"/>
        <v>19732.582050926663</v>
      </c>
      <c r="M79" s="51">
        <f t="shared" si="65"/>
        <v>22663.93902777756</v>
      </c>
      <c r="N79" s="51">
        <f t="shared" si="65"/>
        <v>24613.145714668972</v>
      </c>
      <c r="O79" s="75">
        <f t="shared" si="65"/>
        <v>24874.357335643857</v>
      </c>
      <c r="P79" s="50"/>
    </row>
    <row r="80" spans="2:16" ht="22" customHeight="1" x14ac:dyDescent="0.2">
      <c r="B80" s="79" t="s">
        <v>74</v>
      </c>
      <c r="C80" s="80"/>
      <c r="D80" s="81"/>
      <c r="E80" s="82">
        <f>E79-D79</f>
        <v>547.7362750246557</v>
      </c>
      <c r="F80" s="82">
        <f t="shared" ref="F80:J80" si="66">F79-E79</f>
        <v>1626.7780339196179</v>
      </c>
      <c r="G80" s="82">
        <f t="shared" si="66"/>
        <v>1246.6673908801677</v>
      </c>
      <c r="H80" s="82">
        <f t="shared" si="66"/>
        <v>-20.991592838423458</v>
      </c>
      <c r="I80" s="82">
        <f t="shared" si="66"/>
        <v>206.32563057819243</v>
      </c>
      <c r="J80" s="82">
        <f t="shared" si="66"/>
        <v>-23.110530458860012</v>
      </c>
      <c r="K80" s="82">
        <f>K79-J79</f>
        <v>4437.7659120752996</v>
      </c>
      <c r="L80" s="82">
        <f>L79-K79</f>
        <v>4191.4109317460134</v>
      </c>
      <c r="M80" s="82">
        <f>M79-L79</f>
        <v>2931.3569768508969</v>
      </c>
      <c r="N80" s="82">
        <f>N79-M79</f>
        <v>1949.2066868914117</v>
      </c>
      <c r="O80" s="83">
        <f>O79-N79</f>
        <v>261.21162097488559</v>
      </c>
      <c r="P80" s="59"/>
    </row>
    <row r="81" spans="2:16" ht="22" customHeight="1" x14ac:dyDescent="0.2">
      <c r="B81" s="74"/>
      <c r="C81" s="57"/>
      <c r="D81" s="57"/>
      <c r="E81" s="57"/>
      <c r="F81" s="57"/>
      <c r="G81" s="57"/>
      <c r="H81" s="57"/>
      <c r="I81" s="57"/>
      <c r="O81" s="84"/>
    </row>
    <row r="82" spans="2:16" ht="22" customHeight="1" x14ac:dyDescent="0.2">
      <c r="B82" s="74" t="s">
        <v>75</v>
      </c>
      <c r="C82" s="85"/>
      <c r="D82" s="86">
        <f>D24/(D3/365)</f>
        <v>96.152084743737817</v>
      </c>
      <c r="E82" s="85">
        <v>96</v>
      </c>
      <c r="F82" s="85">
        <v>92</v>
      </c>
      <c r="G82" s="85">
        <v>88</v>
      </c>
      <c r="H82" s="85">
        <v>85</v>
      </c>
      <c r="I82" s="85">
        <v>83</v>
      </c>
      <c r="J82" s="85">
        <v>80</v>
      </c>
      <c r="K82" s="87">
        <v>78</v>
      </c>
      <c r="L82" s="87">
        <v>76</v>
      </c>
      <c r="M82" s="87">
        <v>74</v>
      </c>
      <c r="N82" s="87">
        <v>74</v>
      </c>
      <c r="O82" s="88">
        <v>72</v>
      </c>
      <c r="P82" s="87"/>
    </row>
    <row r="83" spans="2:16" ht="22" customHeight="1" x14ac:dyDescent="0.2">
      <c r="B83" s="74" t="s">
        <v>76</v>
      </c>
      <c r="C83" s="85"/>
      <c r="D83" s="86">
        <f>D25/(D4/365)</f>
        <v>166.13883475228229</v>
      </c>
      <c r="E83" s="85">
        <v>166</v>
      </c>
      <c r="F83" s="85">
        <v>160</v>
      </c>
      <c r="G83" s="85">
        <v>158</v>
      </c>
      <c r="H83" s="85">
        <v>154</v>
      </c>
      <c r="I83" s="85">
        <v>154</v>
      </c>
      <c r="J83" s="85">
        <v>152</v>
      </c>
      <c r="K83" s="87">
        <v>152</v>
      </c>
      <c r="L83" s="87">
        <v>148</v>
      </c>
      <c r="M83" s="87">
        <v>144</v>
      </c>
      <c r="N83" s="87">
        <v>142</v>
      </c>
      <c r="O83" s="88">
        <v>140</v>
      </c>
      <c r="P83" s="87"/>
    </row>
    <row r="84" spans="2:16" ht="22" customHeight="1" x14ac:dyDescent="0.2">
      <c r="B84" s="89" t="s">
        <v>77</v>
      </c>
      <c r="C84" s="90"/>
      <c r="D84" s="91">
        <f>D36/(D4/365)</f>
        <v>135.30721099599961</v>
      </c>
      <c r="E84" s="90">
        <v>135</v>
      </c>
      <c r="F84" s="90">
        <v>138</v>
      </c>
      <c r="G84" s="90">
        <v>140</v>
      </c>
      <c r="H84" s="90">
        <v>142</v>
      </c>
      <c r="I84" s="90">
        <v>144</v>
      </c>
      <c r="J84" s="90">
        <v>146</v>
      </c>
      <c r="K84" s="92">
        <v>146</v>
      </c>
      <c r="L84" s="92">
        <v>148</v>
      </c>
      <c r="M84" s="92">
        <v>150</v>
      </c>
      <c r="N84" s="92">
        <v>150</v>
      </c>
      <c r="O84" s="93">
        <v>152</v>
      </c>
      <c r="P84" s="87"/>
    </row>
    <row r="85" spans="2:16" ht="22" customHeight="1" x14ac:dyDescent="0.2">
      <c r="C85" s="94"/>
      <c r="D85" s="94"/>
      <c r="E85" s="94"/>
      <c r="F85" s="94"/>
      <c r="G85" s="94"/>
      <c r="H85" s="94"/>
      <c r="I85" s="94"/>
    </row>
    <row r="86" spans="2:16" ht="22" customHeight="1" x14ac:dyDescent="0.2">
      <c r="B86" s="69" t="s">
        <v>78</v>
      </c>
      <c r="C86" s="70" t="s">
        <v>0</v>
      </c>
      <c r="D86" s="70" t="s">
        <v>1</v>
      </c>
      <c r="E86" s="70" t="s">
        <v>2</v>
      </c>
      <c r="F86" s="70" t="s">
        <v>3</v>
      </c>
      <c r="G86" s="70" t="s">
        <v>4</v>
      </c>
      <c r="H86" s="70" t="s">
        <v>5</v>
      </c>
      <c r="I86" s="70" t="s">
        <v>49</v>
      </c>
      <c r="J86" s="71" t="s">
        <v>7</v>
      </c>
      <c r="K86" s="71" t="s">
        <v>8</v>
      </c>
      <c r="L86" s="71" t="s">
        <v>9</v>
      </c>
      <c r="M86" s="71" t="s">
        <v>10</v>
      </c>
      <c r="N86" s="71" t="s">
        <v>11</v>
      </c>
      <c r="O86" s="72" t="s">
        <v>12</v>
      </c>
      <c r="P86" s="73"/>
    </row>
    <row r="87" spans="2:16" ht="22" customHeight="1" x14ac:dyDescent="0.2">
      <c r="B87" s="74" t="s">
        <v>79</v>
      </c>
      <c r="C87" s="95"/>
      <c r="D87" s="51">
        <f>C29</f>
        <v>404</v>
      </c>
      <c r="E87" s="14">
        <f t="shared" ref="E87:J87" si="67">D90</f>
        <v>416</v>
      </c>
      <c r="F87" s="14">
        <f t="shared" si="67"/>
        <v>424.4</v>
      </c>
      <c r="G87" s="14">
        <f t="shared" si="67"/>
        <v>441.96</v>
      </c>
      <c r="H87" s="14">
        <f t="shared" si="67"/>
        <v>467.76400000000001</v>
      </c>
      <c r="I87" s="14">
        <f t="shared" si="67"/>
        <v>485.98759999999999</v>
      </c>
      <c r="J87" s="14">
        <f t="shared" si="67"/>
        <v>487.38883999999996</v>
      </c>
      <c r="K87" s="14">
        <f>J90</f>
        <v>488.64995599999997</v>
      </c>
      <c r="L87" s="14">
        <f>K90</f>
        <v>479.78496039999999</v>
      </c>
      <c r="M87" s="14">
        <f>L90</f>
        <v>461.80646436000001</v>
      </c>
      <c r="N87" s="14">
        <f>M90</f>
        <v>445.62581792399999</v>
      </c>
      <c r="O87" s="96">
        <f>N90</f>
        <v>431.06323613159998</v>
      </c>
      <c r="P87" s="16"/>
    </row>
    <row r="88" spans="2:16" ht="22" customHeight="1" x14ac:dyDescent="0.2">
      <c r="B88" s="74" t="s">
        <v>55</v>
      </c>
      <c r="C88" s="97"/>
      <c r="D88" s="26"/>
      <c r="E88" s="14">
        <f t="shared" ref="E88:O88" si="68">E91*E6</f>
        <v>50</v>
      </c>
      <c r="F88" s="14">
        <f t="shared" si="68"/>
        <v>60</v>
      </c>
      <c r="G88" s="14">
        <f t="shared" si="68"/>
        <v>70</v>
      </c>
      <c r="H88" s="14">
        <f t="shared" si="68"/>
        <v>65</v>
      </c>
      <c r="I88" s="14">
        <f t="shared" si="68"/>
        <v>50</v>
      </c>
      <c r="J88" s="14">
        <f t="shared" si="68"/>
        <v>50</v>
      </c>
      <c r="K88" s="14">
        <f t="shared" si="68"/>
        <v>40</v>
      </c>
      <c r="L88" s="14">
        <f t="shared" si="68"/>
        <v>30</v>
      </c>
      <c r="M88" s="14">
        <f t="shared" si="68"/>
        <v>30</v>
      </c>
      <c r="N88" s="14">
        <f t="shared" si="68"/>
        <v>30</v>
      </c>
      <c r="O88" s="96">
        <f t="shared" si="68"/>
        <v>25</v>
      </c>
      <c r="P88" s="16"/>
    </row>
    <row r="89" spans="2:16" ht="22" customHeight="1" x14ac:dyDescent="0.35">
      <c r="B89" s="74" t="s">
        <v>80</v>
      </c>
      <c r="C89" s="98"/>
      <c r="D89" s="31"/>
      <c r="E89" s="32">
        <f t="shared" ref="E89:J89" si="69">E87*E92</f>
        <v>41.6</v>
      </c>
      <c r="F89" s="32">
        <f t="shared" si="69"/>
        <v>42.44</v>
      </c>
      <c r="G89" s="32">
        <f t="shared" si="69"/>
        <v>44.195999999999998</v>
      </c>
      <c r="H89" s="32">
        <f t="shared" si="69"/>
        <v>46.776400000000002</v>
      </c>
      <c r="I89" s="32">
        <f t="shared" si="69"/>
        <v>48.598759999999999</v>
      </c>
      <c r="J89" s="32">
        <f t="shared" si="69"/>
        <v>48.738883999999999</v>
      </c>
      <c r="K89" s="32">
        <f>K87*K92</f>
        <v>48.8649956</v>
      </c>
      <c r="L89" s="32">
        <f>L87*L92</f>
        <v>47.978496040000003</v>
      </c>
      <c r="M89" s="32">
        <f>M87*M92</f>
        <v>46.180646436000004</v>
      </c>
      <c r="N89" s="32">
        <f>N87*N92</f>
        <v>44.562581792400003</v>
      </c>
      <c r="O89" s="99">
        <f>O87*O92</f>
        <v>43.106323613160001</v>
      </c>
      <c r="P89" s="34"/>
    </row>
    <row r="90" spans="2:16" ht="22" customHeight="1" x14ac:dyDescent="0.2">
      <c r="B90" s="100" t="s">
        <v>81</v>
      </c>
      <c r="C90" s="63">
        <v>404</v>
      </c>
      <c r="D90" s="63">
        <v>416</v>
      </c>
      <c r="E90" s="35">
        <f t="shared" ref="E90:J90" si="70">E87+E88-E89</f>
        <v>424.4</v>
      </c>
      <c r="F90" s="35">
        <f t="shared" si="70"/>
        <v>441.96</v>
      </c>
      <c r="G90" s="35">
        <f t="shared" si="70"/>
        <v>467.76400000000001</v>
      </c>
      <c r="H90" s="35">
        <f t="shared" si="70"/>
        <v>485.98759999999999</v>
      </c>
      <c r="I90" s="35">
        <f t="shared" si="70"/>
        <v>487.38883999999996</v>
      </c>
      <c r="J90" s="35">
        <f t="shared" si="70"/>
        <v>488.64995599999997</v>
      </c>
      <c r="K90" s="35">
        <f>K87+K88-K89</f>
        <v>479.78496039999999</v>
      </c>
      <c r="L90" s="35">
        <f>L87+L88-L89</f>
        <v>461.80646436000001</v>
      </c>
      <c r="M90" s="35">
        <f>M87+M88-M89</f>
        <v>445.62581792399999</v>
      </c>
      <c r="N90" s="35">
        <f>N87+N88-N89</f>
        <v>431.06323613159998</v>
      </c>
      <c r="O90" s="101">
        <f>O87+O88-O89</f>
        <v>412.95691251843999</v>
      </c>
      <c r="P90" s="59"/>
    </row>
    <row r="91" spans="2:16" ht="22" customHeight="1" x14ac:dyDescent="0.2">
      <c r="B91" s="74" t="s">
        <v>82</v>
      </c>
      <c r="C91" s="102"/>
      <c r="D91" s="102"/>
      <c r="E91" s="102">
        <v>0.01</v>
      </c>
      <c r="F91" s="102">
        <v>0.01</v>
      </c>
      <c r="G91" s="102">
        <v>0.01</v>
      </c>
      <c r="H91" s="102">
        <v>0.01</v>
      </c>
      <c r="I91" s="102">
        <v>0.01</v>
      </c>
      <c r="J91" s="102">
        <v>0.01</v>
      </c>
      <c r="K91" s="103">
        <v>0.01</v>
      </c>
      <c r="L91" s="103">
        <v>0.01</v>
      </c>
      <c r="M91" s="103">
        <v>0.01</v>
      </c>
      <c r="N91" s="103">
        <v>0.01</v>
      </c>
      <c r="O91" s="104">
        <v>0.01</v>
      </c>
      <c r="P91" s="102"/>
    </row>
    <row r="92" spans="2:16" ht="22" customHeight="1" x14ac:dyDescent="0.2">
      <c r="B92" s="89" t="s">
        <v>83</v>
      </c>
      <c r="C92" s="105"/>
      <c r="D92" s="105"/>
      <c r="E92" s="105">
        <v>0.1</v>
      </c>
      <c r="F92" s="105">
        <v>0.1</v>
      </c>
      <c r="G92" s="105">
        <v>0.1</v>
      </c>
      <c r="H92" s="105">
        <v>0.1</v>
      </c>
      <c r="I92" s="105">
        <v>0.1</v>
      </c>
      <c r="J92" s="105">
        <v>0.1</v>
      </c>
      <c r="K92" s="106">
        <v>0.1</v>
      </c>
      <c r="L92" s="106">
        <v>0.1</v>
      </c>
      <c r="M92" s="106">
        <v>0.1</v>
      </c>
      <c r="N92" s="106">
        <v>0.1</v>
      </c>
      <c r="O92" s="107">
        <v>0.1</v>
      </c>
      <c r="P92" s="102"/>
    </row>
    <row r="93" spans="2:16" ht="22" customHeight="1" x14ac:dyDescent="0.2">
      <c r="C93" s="102"/>
      <c r="D93" s="102"/>
      <c r="E93" s="102"/>
      <c r="F93" s="102"/>
      <c r="G93" s="102"/>
      <c r="H93" s="102"/>
      <c r="I93" s="102"/>
    </row>
    <row r="94" spans="2:16" ht="22" customHeight="1" x14ac:dyDescent="0.2">
      <c r="B94" s="69" t="s">
        <v>84</v>
      </c>
      <c r="C94" s="108" t="s">
        <v>0</v>
      </c>
      <c r="D94" s="108" t="s">
        <v>1</v>
      </c>
      <c r="E94" s="108" t="s">
        <v>2</v>
      </c>
      <c r="F94" s="108" t="s">
        <v>3</v>
      </c>
      <c r="G94" s="108" t="s">
        <v>4</v>
      </c>
      <c r="H94" s="108" t="s">
        <v>5</v>
      </c>
      <c r="I94" s="108" t="s">
        <v>49</v>
      </c>
      <c r="J94" s="109" t="s">
        <v>7</v>
      </c>
      <c r="K94" s="109" t="s">
        <v>8</v>
      </c>
      <c r="L94" s="109" t="s">
        <v>9</v>
      </c>
      <c r="M94" s="109" t="s">
        <v>10</v>
      </c>
      <c r="N94" s="109" t="s">
        <v>11</v>
      </c>
      <c r="O94" s="110" t="s">
        <v>12</v>
      </c>
      <c r="P94" s="111"/>
    </row>
    <row r="95" spans="2:16" ht="22" customHeight="1" x14ac:dyDescent="0.2">
      <c r="B95" s="74" t="s">
        <v>85</v>
      </c>
      <c r="C95" s="97"/>
      <c r="D95" s="14">
        <f>C30</f>
        <v>666</v>
      </c>
      <c r="E95" s="14">
        <f t="shared" ref="E95:J95" si="71">D98</f>
        <v>645</v>
      </c>
      <c r="F95" s="14">
        <f t="shared" si="71"/>
        <v>583.73350000000005</v>
      </c>
      <c r="G95" s="14">
        <f t="shared" si="71"/>
        <v>522.20036400000004</v>
      </c>
      <c r="H95" s="14">
        <f t="shared" si="71"/>
        <v>460.66399012600004</v>
      </c>
      <c r="I95" s="14">
        <f t="shared" si="71"/>
        <v>399.43760160278401</v>
      </c>
      <c r="J95" s="14">
        <f t="shared" si="71"/>
        <v>338.89207124165364</v>
      </c>
      <c r="K95" s="14">
        <f>J98</f>
        <v>279.46493152590108</v>
      </c>
      <c r="L95" s="14">
        <f>K98</f>
        <v>221.67074853911762</v>
      </c>
      <c r="M95" s="14">
        <f>L98</f>
        <v>166.11306473198391</v>
      </c>
      <c r="N95" s="14">
        <f>M98</f>
        <v>113.49814628678811</v>
      </c>
      <c r="O95" s="96">
        <f>N98</f>
        <v>64.650806217543163</v>
      </c>
      <c r="P95" s="16"/>
    </row>
    <row r="96" spans="2:16" ht="22" customHeight="1" x14ac:dyDescent="0.2">
      <c r="B96" s="74" t="s">
        <v>86</v>
      </c>
      <c r="C96" s="97"/>
      <c r="D96" s="26"/>
      <c r="E96" s="14">
        <f>E106-E107</f>
        <v>123.3665</v>
      </c>
      <c r="F96" s="14">
        <f t="shared" ref="F96:O96" si="72">F106-F107</f>
        <v>132.94813599999998</v>
      </c>
      <c r="G96" s="14">
        <f t="shared" si="72"/>
        <v>143.66362387399997</v>
      </c>
      <c r="H96" s="14">
        <f t="shared" si="72"/>
        <v>155.67272602321597</v>
      </c>
      <c r="I96" s="14">
        <f t="shared" si="72"/>
        <v>169.15881848613031</v>
      </c>
      <c r="J96" s="14">
        <f t="shared" si="72"/>
        <v>184.33242105950248</v>
      </c>
      <c r="K96" s="14">
        <f t="shared" si="72"/>
        <v>201.43525653209588</v>
      </c>
      <c r="L96" s="14">
        <f t="shared" si="72"/>
        <v>220.74491838424299</v>
      </c>
      <c r="M96" s="14">
        <f t="shared" si="72"/>
        <v>242.58023820887146</v>
      </c>
      <c r="N96" s="14">
        <f t="shared" si="72"/>
        <v>267.30745779747195</v>
      </c>
      <c r="O96" s="96">
        <f t="shared" si="72"/>
        <v>295.34732657550973</v>
      </c>
      <c r="P96" s="16"/>
    </row>
    <row r="97" spans="2:17" ht="22" customHeight="1" x14ac:dyDescent="0.2">
      <c r="B97" s="74" t="s">
        <v>87</v>
      </c>
      <c r="C97" s="112" t="s">
        <v>88</v>
      </c>
      <c r="D97" s="28">
        <v>54</v>
      </c>
      <c r="E97" s="16">
        <f>D97*(1+15%)</f>
        <v>62.099999999999994</v>
      </c>
      <c r="F97" s="16">
        <f t="shared" ref="F97:O97" si="73">E97*(1+15%)</f>
        <v>71.414999999999992</v>
      </c>
      <c r="G97" s="16">
        <f t="shared" si="73"/>
        <v>82.127249999999989</v>
      </c>
      <c r="H97" s="16">
        <f t="shared" si="73"/>
        <v>94.446337499999984</v>
      </c>
      <c r="I97" s="16">
        <f t="shared" si="73"/>
        <v>108.61328812499997</v>
      </c>
      <c r="J97" s="16">
        <f t="shared" si="73"/>
        <v>124.90528134374995</v>
      </c>
      <c r="K97" s="16">
        <f t="shared" si="73"/>
        <v>143.64107354531242</v>
      </c>
      <c r="L97" s="16">
        <f t="shared" si="73"/>
        <v>165.18723457710928</v>
      </c>
      <c r="M97" s="16">
        <f t="shared" si="73"/>
        <v>189.96531976367567</v>
      </c>
      <c r="N97" s="16">
        <f t="shared" si="73"/>
        <v>218.460117728227</v>
      </c>
      <c r="O97" s="113">
        <f t="shared" si="73"/>
        <v>251.22913538746104</v>
      </c>
      <c r="P97" s="16"/>
      <c r="Q97" s="14"/>
    </row>
    <row r="98" spans="2:17" ht="22" customHeight="1" x14ac:dyDescent="0.2">
      <c r="B98" s="100" t="s">
        <v>89</v>
      </c>
      <c r="C98" s="63">
        <v>666</v>
      </c>
      <c r="D98" s="63">
        <v>645</v>
      </c>
      <c r="E98" s="35">
        <f t="shared" ref="E98:O98" si="74">E95-E96+E97</f>
        <v>583.73350000000005</v>
      </c>
      <c r="F98" s="35">
        <f t="shared" si="74"/>
        <v>522.20036400000004</v>
      </c>
      <c r="G98" s="35">
        <f t="shared" si="74"/>
        <v>460.66399012600004</v>
      </c>
      <c r="H98" s="35">
        <f t="shared" si="74"/>
        <v>399.43760160278401</v>
      </c>
      <c r="I98" s="35">
        <f t="shared" si="74"/>
        <v>338.89207124165364</v>
      </c>
      <c r="J98" s="35">
        <f t="shared" si="74"/>
        <v>279.46493152590108</v>
      </c>
      <c r="K98" s="35">
        <f t="shared" si="74"/>
        <v>221.67074853911762</v>
      </c>
      <c r="L98" s="35">
        <f t="shared" si="74"/>
        <v>166.11306473198391</v>
      </c>
      <c r="M98" s="35">
        <f t="shared" si="74"/>
        <v>113.49814628678811</v>
      </c>
      <c r="N98" s="35">
        <f t="shared" si="74"/>
        <v>64.650806217543163</v>
      </c>
      <c r="O98" s="101">
        <f t="shared" si="74"/>
        <v>20.53261502949448</v>
      </c>
      <c r="P98" s="59"/>
    </row>
    <row r="99" spans="2:17" ht="22" customHeight="1" x14ac:dyDescent="0.2">
      <c r="B99" s="74" t="s">
        <v>90</v>
      </c>
      <c r="C99" s="86"/>
      <c r="D99" s="14">
        <v>140</v>
      </c>
      <c r="E99" s="14">
        <f>E106</f>
        <v>146.5205</v>
      </c>
      <c r="F99" s="14">
        <f t="shared" ref="F99:O99" si="75">F106</f>
        <v>154.01907499999999</v>
      </c>
      <c r="G99" s="14">
        <f t="shared" si="75"/>
        <v>162.64243624999997</v>
      </c>
      <c r="H99" s="14">
        <f t="shared" si="75"/>
        <v>172.55930168749998</v>
      </c>
      <c r="I99" s="14">
        <f t="shared" si="75"/>
        <v>183.96369694062497</v>
      </c>
      <c r="J99" s="14">
        <f t="shared" si="75"/>
        <v>197.07875148171871</v>
      </c>
      <c r="K99" s="14">
        <f t="shared" si="75"/>
        <v>212.16106420397651</v>
      </c>
      <c r="L99" s="14">
        <f t="shared" si="75"/>
        <v>229.50572383457299</v>
      </c>
      <c r="M99" s="14">
        <f t="shared" si="75"/>
        <v>249.45208240975893</v>
      </c>
      <c r="N99" s="14">
        <f t="shared" si="75"/>
        <v>272.39039477122276</v>
      </c>
      <c r="O99" s="96">
        <f t="shared" si="75"/>
        <v>298.76945398690617</v>
      </c>
      <c r="P99" s="16"/>
    </row>
    <row r="100" spans="2:17" ht="22" customHeight="1" x14ac:dyDescent="0.2">
      <c r="B100" s="74"/>
      <c r="C100" s="97"/>
      <c r="D100" s="14"/>
      <c r="E100" s="14"/>
      <c r="F100" s="14"/>
      <c r="G100" s="14"/>
      <c r="H100" s="14"/>
      <c r="I100" s="14"/>
      <c r="J100" s="14"/>
      <c r="O100" s="84"/>
    </row>
    <row r="101" spans="2:17" ht="22" customHeight="1" x14ac:dyDescent="0.2">
      <c r="B101" s="74" t="s">
        <v>91</v>
      </c>
      <c r="C101" s="97"/>
      <c r="D101" s="14">
        <f>C37</f>
        <v>669</v>
      </c>
      <c r="E101" s="14">
        <f>D104</f>
        <v>681</v>
      </c>
      <c r="F101" s="14">
        <f t="shared" ref="F101:J101" si="76">E104</f>
        <v>619.73350000000005</v>
      </c>
      <c r="G101" s="14">
        <f t="shared" si="76"/>
        <v>558.20036400000004</v>
      </c>
      <c r="H101" s="14">
        <f t="shared" si="76"/>
        <v>496.66399012600004</v>
      </c>
      <c r="I101" s="14">
        <f t="shared" si="76"/>
        <v>435.43760160278401</v>
      </c>
      <c r="J101" s="14">
        <f t="shared" si="76"/>
        <v>374.89207124165364</v>
      </c>
      <c r="K101" s="14">
        <f>J104</f>
        <v>315.46493152590108</v>
      </c>
      <c r="L101" s="14">
        <f>K104</f>
        <v>257.67074853911765</v>
      </c>
      <c r="M101" s="14">
        <f>L104</f>
        <v>202.11306473198394</v>
      </c>
      <c r="N101" s="14">
        <f>M104</f>
        <v>149.49814628678814</v>
      </c>
      <c r="O101" s="96">
        <f>N104</f>
        <v>100.65080621754319</v>
      </c>
      <c r="P101" s="16"/>
    </row>
    <row r="102" spans="2:17" ht="22" customHeight="1" x14ac:dyDescent="0.2">
      <c r="B102" s="74" t="s">
        <v>92</v>
      </c>
      <c r="C102" s="97"/>
      <c r="D102" s="26"/>
      <c r="E102" s="14">
        <f>E106-E107</f>
        <v>123.3665</v>
      </c>
      <c r="F102" s="14">
        <f t="shared" ref="F102:J102" si="77">F106-F107</f>
        <v>132.94813599999998</v>
      </c>
      <c r="G102" s="14">
        <f t="shared" si="77"/>
        <v>143.66362387399997</v>
      </c>
      <c r="H102" s="14">
        <f t="shared" si="77"/>
        <v>155.67272602321597</v>
      </c>
      <c r="I102" s="14">
        <f t="shared" si="77"/>
        <v>169.15881848613031</v>
      </c>
      <c r="J102" s="14">
        <f t="shared" si="77"/>
        <v>184.33242105950248</v>
      </c>
      <c r="K102" s="14">
        <f>K106-K107</f>
        <v>201.43525653209588</v>
      </c>
      <c r="L102" s="14">
        <f>L106-L107</f>
        <v>220.74491838424299</v>
      </c>
      <c r="M102" s="14">
        <f>M106-M107</f>
        <v>242.58023820887146</v>
      </c>
      <c r="N102" s="14">
        <f>N106-N107</f>
        <v>267.30745779747195</v>
      </c>
      <c r="O102" s="96">
        <f>O106-O107</f>
        <v>295.34732657550973</v>
      </c>
      <c r="P102" s="16"/>
    </row>
    <row r="103" spans="2:17" ht="22" customHeight="1" x14ac:dyDescent="0.2">
      <c r="B103" s="74" t="s">
        <v>93</v>
      </c>
      <c r="C103" s="112" t="s">
        <v>88</v>
      </c>
      <c r="D103" s="28">
        <v>54</v>
      </c>
      <c r="E103" s="16">
        <f>D103*(1+15%)</f>
        <v>62.099999999999994</v>
      </c>
      <c r="F103" s="16">
        <f t="shared" ref="F103:O103" si="78">E103*(1+15%)</f>
        <v>71.414999999999992</v>
      </c>
      <c r="G103" s="16">
        <f t="shared" si="78"/>
        <v>82.127249999999989</v>
      </c>
      <c r="H103" s="16">
        <f t="shared" si="78"/>
        <v>94.446337499999984</v>
      </c>
      <c r="I103" s="16">
        <f t="shared" si="78"/>
        <v>108.61328812499997</v>
      </c>
      <c r="J103" s="16">
        <f t="shared" si="78"/>
        <v>124.90528134374995</v>
      </c>
      <c r="K103" s="16">
        <f t="shared" si="78"/>
        <v>143.64107354531242</v>
      </c>
      <c r="L103" s="16">
        <f t="shared" si="78"/>
        <v>165.18723457710928</v>
      </c>
      <c r="M103" s="16">
        <f t="shared" si="78"/>
        <v>189.96531976367567</v>
      </c>
      <c r="N103" s="16">
        <f t="shared" si="78"/>
        <v>218.460117728227</v>
      </c>
      <c r="O103" s="113">
        <f t="shared" si="78"/>
        <v>251.22913538746104</v>
      </c>
      <c r="P103" s="16"/>
    </row>
    <row r="104" spans="2:17" ht="22" customHeight="1" x14ac:dyDescent="0.2">
      <c r="B104" s="100" t="s">
        <v>94</v>
      </c>
      <c r="C104" s="54">
        <v>669</v>
      </c>
      <c r="D104" s="54">
        <v>681</v>
      </c>
      <c r="E104" s="35">
        <f>E101-E102+E103</f>
        <v>619.73350000000005</v>
      </c>
      <c r="F104" s="35">
        <f t="shared" ref="F104:O104" si="79">F101-F102+F103</f>
        <v>558.20036400000004</v>
      </c>
      <c r="G104" s="35">
        <f t="shared" si="79"/>
        <v>496.66399012600004</v>
      </c>
      <c r="H104" s="35">
        <f t="shared" si="79"/>
        <v>435.43760160278401</v>
      </c>
      <c r="I104" s="35">
        <f t="shared" si="79"/>
        <v>374.89207124165364</v>
      </c>
      <c r="J104" s="35">
        <f t="shared" si="79"/>
        <v>315.46493152590108</v>
      </c>
      <c r="K104" s="35">
        <f t="shared" si="79"/>
        <v>257.67074853911765</v>
      </c>
      <c r="L104" s="35">
        <f t="shared" si="79"/>
        <v>202.11306473198394</v>
      </c>
      <c r="M104" s="35">
        <f t="shared" si="79"/>
        <v>149.49814628678814</v>
      </c>
      <c r="N104" s="35">
        <f t="shared" si="79"/>
        <v>100.65080621754319</v>
      </c>
      <c r="O104" s="101">
        <f t="shared" si="79"/>
        <v>56.532615029494508</v>
      </c>
      <c r="P104" s="59"/>
    </row>
    <row r="105" spans="2:17" ht="22" customHeight="1" x14ac:dyDescent="0.2">
      <c r="B105" s="74"/>
      <c r="C105" s="94"/>
      <c r="D105" s="114"/>
      <c r="E105" s="114"/>
      <c r="F105" s="114"/>
      <c r="G105" s="114"/>
      <c r="H105" s="114"/>
      <c r="I105" s="114"/>
      <c r="J105" s="14"/>
      <c r="O105" s="84"/>
    </row>
    <row r="106" spans="2:17" ht="22" customHeight="1" x14ac:dyDescent="0.2">
      <c r="B106" s="74" t="s">
        <v>95</v>
      </c>
      <c r="C106" s="48"/>
      <c r="D106" s="48">
        <v>140</v>
      </c>
      <c r="E106" s="14">
        <f>D106+E103*E108</f>
        <v>146.5205</v>
      </c>
      <c r="F106" s="14">
        <f t="shared" ref="F106:O106" si="80">E106+F103*F108</f>
        <v>154.01907499999999</v>
      </c>
      <c r="G106" s="14">
        <f t="shared" si="80"/>
        <v>162.64243624999997</v>
      </c>
      <c r="H106" s="14">
        <f t="shared" si="80"/>
        <v>172.55930168749998</v>
      </c>
      <c r="I106" s="14">
        <f t="shared" si="80"/>
        <v>183.96369694062497</v>
      </c>
      <c r="J106" s="14">
        <f t="shared" si="80"/>
        <v>197.07875148171871</v>
      </c>
      <c r="K106" s="14">
        <f t="shared" si="80"/>
        <v>212.16106420397651</v>
      </c>
      <c r="L106" s="14">
        <f t="shared" si="80"/>
        <v>229.50572383457299</v>
      </c>
      <c r="M106" s="14">
        <f t="shared" si="80"/>
        <v>249.45208240975893</v>
      </c>
      <c r="N106" s="14">
        <f t="shared" si="80"/>
        <v>272.39039477122276</v>
      </c>
      <c r="O106" s="96">
        <f t="shared" si="80"/>
        <v>298.76945398690617</v>
      </c>
      <c r="P106" s="16"/>
    </row>
    <row r="107" spans="2:17" ht="22" customHeight="1" x14ac:dyDescent="0.2">
      <c r="B107" s="74" t="s">
        <v>96</v>
      </c>
      <c r="C107" s="86"/>
      <c r="D107" s="115">
        <f t="shared" ref="D107:O107" si="81">D101*D109</f>
        <v>22.746000000000002</v>
      </c>
      <c r="E107" s="115">
        <f>E101*E109</f>
        <v>23.154</v>
      </c>
      <c r="F107" s="115">
        <f t="shared" si="81"/>
        <v>21.070939000000003</v>
      </c>
      <c r="G107" s="115">
        <f t="shared" si="81"/>
        <v>18.978812376000004</v>
      </c>
      <c r="H107" s="115">
        <f t="shared" si="81"/>
        <v>16.886575664284003</v>
      </c>
      <c r="I107" s="115">
        <f t="shared" si="81"/>
        <v>14.804878454494657</v>
      </c>
      <c r="J107" s="115">
        <f t="shared" si="81"/>
        <v>12.746330422216225</v>
      </c>
      <c r="K107" s="115">
        <f t="shared" si="81"/>
        <v>10.725807671880638</v>
      </c>
      <c r="L107" s="115">
        <f t="shared" si="81"/>
        <v>8.7608054503300004</v>
      </c>
      <c r="M107" s="115">
        <f t="shared" si="81"/>
        <v>6.8718442008874545</v>
      </c>
      <c r="N107" s="115">
        <f t="shared" si="81"/>
        <v>5.0829369737507974</v>
      </c>
      <c r="O107" s="116">
        <f t="shared" si="81"/>
        <v>3.4221274113964686</v>
      </c>
      <c r="P107" s="117"/>
    </row>
    <row r="108" spans="2:17" ht="22" customHeight="1" x14ac:dyDescent="0.2">
      <c r="B108" s="74" t="s">
        <v>97</v>
      </c>
      <c r="C108" s="102"/>
      <c r="D108" s="102"/>
      <c r="E108" s="118">
        <v>0.105</v>
      </c>
      <c r="F108" s="118">
        <v>0.105</v>
      </c>
      <c r="G108" s="118">
        <v>0.105</v>
      </c>
      <c r="H108" s="118">
        <v>0.105</v>
      </c>
      <c r="I108" s="118">
        <v>0.105</v>
      </c>
      <c r="J108" s="118">
        <v>0.105</v>
      </c>
      <c r="K108" s="118">
        <v>0.105</v>
      </c>
      <c r="L108" s="118">
        <v>0.105</v>
      </c>
      <c r="M108" s="118">
        <v>0.105</v>
      </c>
      <c r="N108" s="118">
        <v>0.105</v>
      </c>
      <c r="O108" s="119">
        <v>0.105</v>
      </c>
      <c r="P108" s="118"/>
    </row>
    <row r="109" spans="2:17" ht="22" customHeight="1" x14ac:dyDescent="0.2">
      <c r="B109" s="89" t="s">
        <v>98</v>
      </c>
      <c r="C109" s="120"/>
      <c r="D109" s="121">
        <v>3.4000000000000002E-2</v>
      </c>
      <c r="E109" s="122">
        <v>3.4000000000000002E-2</v>
      </c>
      <c r="F109" s="122">
        <v>3.4000000000000002E-2</v>
      </c>
      <c r="G109" s="122">
        <v>3.4000000000000002E-2</v>
      </c>
      <c r="H109" s="122">
        <v>3.4000000000000002E-2</v>
      </c>
      <c r="I109" s="122">
        <v>3.4000000000000002E-2</v>
      </c>
      <c r="J109" s="122">
        <v>3.4000000000000002E-2</v>
      </c>
      <c r="K109" s="122">
        <v>3.4000000000000002E-2</v>
      </c>
      <c r="L109" s="122">
        <v>3.4000000000000002E-2</v>
      </c>
      <c r="M109" s="122">
        <v>3.4000000000000002E-2</v>
      </c>
      <c r="N109" s="122">
        <v>3.4000000000000002E-2</v>
      </c>
      <c r="O109" s="123">
        <v>3.4000000000000002E-2</v>
      </c>
      <c r="P109" s="118"/>
    </row>
    <row r="110" spans="2:17" ht="22" customHeight="1" x14ac:dyDescent="0.2">
      <c r="C110" s="124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17"/>
    </row>
    <row r="111" spans="2:17" ht="22" customHeight="1" x14ac:dyDescent="0.2">
      <c r="B111" s="69" t="s">
        <v>99</v>
      </c>
      <c r="C111" s="70" t="s">
        <v>0</v>
      </c>
      <c r="D111" s="70" t="s">
        <v>1</v>
      </c>
      <c r="E111" s="70" t="s">
        <v>2</v>
      </c>
      <c r="F111" s="70" t="s">
        <v>3</v>
      </c>
      <c r="G111" s="70" t="s">
        <v>4</v>
      </c>
      <c r="H111" s="70" t="s">
        <v>5</v>
      </c>
      <c r="I111" s="70" t="s">
        <v>49</v>
      </c>
      <c r="J111" s="71" t="s">
        <v>7</v>
      </c>
      <c r="K111" s="71" t="s">
        <v>7</v>
      </c>
      <c r="L111" s="71" t="s">
        <v>7</v>
      </c>
      <c r="M111" s="71" t="s">
        <v>7</v>
      </c>
      <c r="N111" s="71" t="s">
        <v>7</v>
      </c>
      <c r="O111" s="72" t="s">
        <v>7</v>
      </c>
      <c r="P111" s="73"/>
    </row>
    <row r="112" spans="2:17" ht="22" customHeight="1" x14ac:dyDescent="0.2">
      <c r="B112" s="74" t="s">
        <v>100</v>
      </c>
      <c r="C112" s="126"/>
      <c r="D112" s="48">
        <f>C31</f>
        <v>37928</v>
      </c>
      <c r="E112" s="48">
        <f>D116</f>
        <v>39749</v>
      </c>
      <c r="F112" s="48">
        <f t="shared" ref="F112:J112" si="82">E116</f>
        <v>47401.71</v>
      </c>
      <c r="G112" s="48">
        <f t="shared" si="82"/>
        <v>50473.3338</v>
      </c>
      <c r="H112" s="48">
        <f t="shared" si="82"/>
        <v>52969.200363999989</v>
      </c>
      <c r="I112" s="48">
        <f t="shared" si="82"/>
        <v>58445.668287559994</v>
      </c>
      <c r="J112" s="51">
        <f t="shared" si="82"/>
        <v>62456.534630047994</v>
      </c>
      <c r="K112" s="51">
        <f>J116</f>
        <v>66289.793050338878</v>
      </c>
      <c r="L112" s="51">
        <f>K116</f>
        <v>68057.630301277881</v>
      </c>
      <c r="M112" s="51">
        <f>L116</f>
        <v>68507.256847047858</v>
      </c>
      <c r="N112" s="51">
        <f>M116</f>
        <v>67975.95061457924</v>
      </c>
      <c r="O112" s="75">
        <f>N116</f>
        <v>66540.279503954982</v>
      </c>
      <c r="P112" s="50"/>
    </row>
    <row r="113" spans="2:19" ht="22" customHeight="1" x14ac:dyDescent="0.2">
      <c r="B113" s="74" t="s">
        <v>101</v>
      </c>
      <c r="C113" s="126"/>
      <c r="D113" s="48">
        <f>D116-D112+D115</f>
        <v>9601</v>
      </c>
      <c r="E113" s="50">
        <f t="shared" ref="E113:O113" si="83">E181</f>
        <v>16000</v>
      </c>
      <c r="F113" s="50">
        <f t="shared" si="83"/>
        <v>16000</v>
      </c>
      <c r="G113" s="50">
        <f t="shared" si="83"/>
        <v>16000</v>
      </c>
      <c r="H113" s="50">
        <f t="shared" si="83"/>
        <v>16000</v>
      </c>
      <c r="I113" s="50">
        <f t="shared" si="83"/>
        <v>15000</v>
      </c>
      <c r="J113" s="127">
        <f t="shared" si="83"/>
        <v>15000</v>
      </c>
      <c r="K113" s="127">
        <f t="shared" si="83"/>
        <v>13000</v>
      </c>
      <c r="L113" s="127">
        <f t="shared" si="83"/>
        <v>12000</v>
      </c>
      <c r="M113" s="127">
        <f t="shared" si="83"/>
        <v>11000</v>
      </c>
      <c r="N113" s="127">
        <f t="shared" si="83"/>
        <v>10000</v>
      </c>
      <c r="O113" s="128">
        <f t="shared" si="83"/>
        <v>10000</v>
      </c>
      <c r="P113" s="50"/>
      <c r="Q113" s="14"/>
    </row>
    <row r="114" spans="2:19" ht="22" customHeight="1" x14ac:dyDescent="0.2">
      <c r="B114" s="74" t="s">
        <v>102</v>
      </c>
      <c r="C114" s="126"/>
      <c r="D114" s="48"/>
      <c r="E114" s="50">
        <v>500</v>
      </c>
      <c r="F114" s="50">
        <v>3000</v>
      </c>
      <c r="G114" s="50">
        <v>3000</v>
      </c>
      <c r="H114" s="50">
        <v>0</v>
      </c>
      <c r="I114" s="50">
        <v>0</v>
      </c>
      <c r="J114" s="127">
        <v>0</v>
      </c>
      <c r="K114" s="127">
        <v>0</v>
      </c>
      <c r="L114" s="127">
        <v>0</v>
      </c>
      <c r="M114" s="127">
        <v>0</v>
      </c>
      <c r="N114" s="127">
        <v>0</v>
      </c>
      <c r="O114" s="128">
        <v>0</v>
      </c>
      <c r="P114" s="50"/>
      <c r="Q114" s="14"/>
    </row>
    <row r="115" spans="2:19" ht="22" customHeight="1" x14ac:dyDescent="0.2">
      <c r="B115" s="74" t="s">
        <v>19</v>
      </c>
      <c r="C115" s="129"/>
      <c r="D115" s="51">
        <v>7780</v>
      </c>
      <c r="E115" s="130">
        <f>E112*E117</f>
        <v>8347.2899999999991</v>
      </c>
      <c r="F115" s="130">
        <f t="shared" ref="F115:O115" si="84">F112*F117</f>
        <v>10428.376200000001</v>
      </c>
      <c r="G115" s="130">
        <f t="shared" si="84"/>
        <v>11104.133436</v>
      </c>
      <c r="H115" s="130">
        <f t="shared" si="84"/>
        <v>11123.532076439997</v>
      </c>
      <c r="I115" s="130">
        <f t="shared" si="84"/>
        <v>11689.133657512</v>
      </c>
      <c r="J115" s="130">
        <f t="shared" si="84"/>
        <v>11866.74157970912</v>
      </c>
      <c r="K115" s="130">
        <f t="shared" si="84"/>
        <v>11932.162749060997</v>
      </c>
      <c r="L115" s="130">
        <f t="shared" si="84"/>
        <v>12250.373454230019</v>
      </c>
      <c r="M115" s="130">
        <f t="shared" si="84"/>
        <v>12331.306232468614</v>
      </c>
      <c r="N115" s="130">
        <f t="shared" si="84"/>
        <v>12235.671110624262</v>
      </c>
      <c r="O115" s="131">
        <f t="shared" si="84"/>
        <v>11977.250310711896</v>
      </c>
      <c r="P115" s="132"/>
    </row>
    <row r="116" spans="2:19" ht="22" customHeight="1" x14ac:dyDescent="0.2">
      <c r="B116" s="100" t="s">
        <v>103</v>
      </c>
      <c r="C116" s="63">
        <v>37928</v>
      </c>
      <c r="D116" s="63">
        <v>39749</v>
      </c>
      <c r="E116" s="63">
        <f>E112+E113-E115-E114+E143</f>
        <v>47401.71</v>
      </c>
      <c r="F116" s="63">
        <f t="shared" ref="F116:O116" si="85">F112+F113-F115-F114+F143</f>
        <v>50473.3338</v>
      </c>
      <c r="G116" s="63">
        <f t="shared" si="85"/>
        <v>52969.200363999989</v>
      </c>
      <c r="H116" s="63">
        <f t="shared" si="85"/>
        <v>58445.668287559994</v>
      </c>
      <c r="I116" s="63">
        <f t="shared" si="85"/>
        <v>62456.534630047994</v>
      </c>
      <c r="J116" s="63">
        <f t="shared" si="85"/>
        <v>66289.793050338878</v>
      </c>
      <c r="K116" s="63">
        <f t="shared" si="85"/>
        <v>68057.630301277881</v>
      </c>
      <c r="L116" s="63">
        <f t="shared" si="85"/>
        <v>68507.256847047858</v>
      </c>
      <c r="M116" s="63">
        <f t="shared" si="85"/>
        <v>67975.95061457924</v>
      </c>
      <c r="N116" s="63">
        <f t="shared" si="85"/>
        <v>66540.279503954982</v>
      </c>
      <c r="O116" s="133">
        <f t="shared" si="85"/>
        <v>65363.029193243085</v>
      </c>
      <c r="P116" s="56"/>
    </row>
    <row r="117" spans="2:19" ht="22" customHeight="1" x14ac:dyDescent="0.2">
      <c r="B117" s="74" t="s">
        <v>104</v>
      </c>
      <c r="C117" s="134"/>
      <c r="D117" s="134"/>
      <c r="E117" s="135">
        <v>0.21</v>
      </c>
      <c r="F117" s="135">
        <v>0.22</v>
      </c>
      <c r="G117" s="135">
        <v>0.22</v>
      </c>
      <c r="H117" s="135">
        <v>0.21</v>
      </c>
      <c r="I117" s="135">
        <v>0.2</v>
      </c>
      <c r="J117" s="135">
        <v>0.19</v>
      </c>
      <c r="K117" s="135">
        <v>0.18</v>
      </c>
      <c r="L117" s="135">
        <v>0.18</v>
      </c>
      <c r="M117" s="135">
        <v>0.18</v>
      </c>
      <c r="N117" s="135">
        <v>0.18</v>
      </c>
      <c r="O117" s="104">
        <v>0.18</v>
      </c>
      <c r="P117" s="102"/>
    </row>
    <row r="118" spans="2:19" ht="22" customHeight="1" x14ac:dyDescent="0.2">
      <c r="B118" s="89" t="s">
        <v>105</v>
      </c>
      <c r="C118" s="122"/>
      <c r="D118" s="122"/>
      <c r="E118" s="136">
        <f t="shared" ref="E118:O118" si="86">E181</f>
        <v>16000</v>
      </c>
      <c r="F118" s="136">
        <f t="shared" si="86"/>
        <v>16000</v>
      </c>
      <c r="G118" s="136">
        <f t="shared" si="86"/>
        <v>16000</v>
      </c>
      <c r="H118" s="136">
        <f t="shared" si="86"/>
        <v>16000</v>
      </c>
      <c r="I118" s="136">
        <f t="shared" si="86"/>
        <v>15000</v>
      </c>
      <c r="J118" s="136">
        <f t="shared" si="86"/>
        <v>15000</v>
      </c>
      <c r="K118" s="136">
        <f t="shared" si="86"/>
        <v>13000</v>
      </c>
      <c r="L118" s="136">
        <f t="shared" si="86"/>
        <v>12000</v>
      </c>
      <c r="M118" s="136">
        <f t="shared" si="86"/>
        <v>11000</v>
      </c>
      <c r="N118" s="136">
        <f t="shared" si="86"/>
        <v>10000</v>
      </c>
      <c r="O118" s="137">
        <f t="shared" si="86"/>
        <v>10000</v>
      </c>
      <c r="P118" s="10"/>
      <c r="Q118" s="14"/>
    </row>
    <row r="119" spans="2:19" ht="22" customHeight="1" x14ac:dyDescent="0.2"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</row>
    <row r="120" spans="2:19" ht="22" customHeight="1" x14ac:dyDescent="0.2">
      <c r="B120" s="138" t="s">
        <v>106</v>
      </c>
      <c r="C120" s="139" t="s">
        <v>48</v>
      </c>
      <c r="D120" s="139" t="s">
        <v>1</v>
      </c>
      <c r="E120" s="139" t="s">
        <v>2</v>
      </c>
      <c r="F120" s="139" t="s">
        <v>3</v>
      </c>
      <c r="G120" s="139" t="s">
        <v>4</v>
      </c>
      <c r="H120" s="139" t="s">
        <v>5</v>
      </c>
      <c r="I120" s="139" t="s">
        <v>49</v>
      </c>
      <c r="J120" s="139" t="s">
        <v>7</v>
      </c>
      <c r="K120" s="139" t="s">
        <v>8</v>
      </c>
      <c r="L120" s="139" t="s">
        <v>9</v>
      </c>
      <c r="M120" s="139" t="s">
        <v>10</v>
      </c>
      <c r="N120" s="139" t="s">
        <v>11</v>
      </c>
      <c r="O120" s="140" t="s">
        <v>12</v>
      </c>
      <c r="P120" s="6"/>
    </row>
    <row r="121" spans="2:19" ht="22" customHeight="1" x14ac:dyDescent="0.2">
      <c r="B121" s="141" t="s">
        <v>107</v>
      </c>
      <c r="C121" s="142"/>
      <c r="D121" s="142"/>
      <c r="E121" s="142">
        <v>0</v>
      </c>
      <c r="F121" s="142">
        <f>E123</f>
        <v>0</v>
      </c>
      <c r="G121" s="142">
        <v>0</v>
      </c>
      <c r="H121" s="142">
        <v>0</v>
      </c>
      <c r="I121" s="142">
        <v>0</v>
      </c>
      <c r="J121" s="142">
        <v>0</v>
      </c>
      <c r="K121" s="142">
        <f t="shared" ref="K121:O121" si="87">J123</f>
        <v>0</v>
      </c>
      <c r="L121" s="142">
        <f t="shared" si="87"/>
        <v>0</v>
      </c>
      <c r="M121" s="142">
        <f t="shared" si="87"/>
        <v>0</v>
      </c>
      <c r="N121" s="142">
        <f t="shared" si="87"/>
        <v>0</v>
      </c>
      <c r="O121" s="143">
        <f t="shared" si="87"/>
        <v>0</v>
      </c>
      <c r="P121" s="144"/>
    </row>
    <row r="122" spans="2:19" ht="22" customHeight="1" x14ac:dyDescent="0.35">
      <c r="B122" s="74" t="s">
        <v>108</v>
      </c>
      <c r="C122" s="500">
        <v>0</v>
      </c>
      <c r="D122" s="500">
        <v>0</v>
      </c>
      <c r="E122" s="500"/>
      <c r="F122" s="500">
        <v>0</v>
      </c>
      <c r="G122" s="500">
        <v>0</v>
      </c>
      <c r="H122" s="500">
        <v>0</v>
      </c>
      <c r="I122" s="500">
        <v>0</v>
      </c>
      <c r="J122" s="500">
        <v>0</v>
      </c>
      <c r="K122" s="500">
        <v>0</v>
      </c>
      <c r="L122" s="500">
        <v>0</v>
      </c>
      <c r="M122" s="500">
        <v>0</v>
      </c>
      <c r="N122" s="500">
        <v>0</v>
      </c>
      <c r="O122" s="145">
        <v>0</v>
      </c>
      <c r="P122" s="146"/>
    </row>
    <row r="123" spans="2:19" ht="22" customHeight="1" x14ac:dyDescent="0.2">
      <c r="B123" s="100" t="s">
        <v>109</v>
      </c>
      <c r="C123" s="501">
        <v>0</v>
      </c>
      <c r="D123" s="501">
        <v>0</v>
      </c>
      <c r="E123" s="501">
        <f>SUM(E121:E122)</f>
        <v>0</v>
      </c>
      <c r="F123" s="501">
        <f t="shared" ref="F123:O123" si="88">SUM(F121:F122)</f>
        <v>0</v>
      </c>
      <c r="G123" s="501">
        <f t="shared" si="88"/>
        <v>0</v>
      </c>
      <c r="H123" s="501">
        <f t="shared" si="88"/>
        <v>0</v>
      </c>
      <c r="I123" s="501">
        <f t="shared" si="88"/>
        <v>0</v>
      </c>
      <c r="J123" s="501">
        <f t="shared" si="88"/>
        <v>0</v>
      </c>
      <c r="K123" s="501">
        <f t="shared" si="88"/>
        <v>0</v>
      </c>
      <c r="L123" s="501">
        <f t="shared" si="88"/>
        <v>0</v>
      </c>
      <c r="M123" s="501">
        <f t="shared" si="88"/>
        <v>0</v>
      </c>
      <c r="N123" s="501">
        <f t="shared" si="88"/>
        <v>0</v>
      </c>
      <c r="O123" s="147">
        <f t="shared" si="88"/>
        <v>0</v>
      </c>
      <c r="P123" s="148"/>
    </row>
    <row r="124" spans="2:19" ht="22" customHeight="1" x14ac:dyDescent="0.2">
      <c r="B124" s="74" t="s">
        <v>110</v>
      </c>
      <c r="C124" s="86">
        <v>0</v>
      </c>
      <c r="D124" s="86">
        <f t="shared" ref="D124:I124" si="89">AVERAGE(D121,D123)*D126</f>
        <v>0</v>
      </c>
      <c r="E124" s="86">
        <f t="shared" si="89"/>
        <v>0</v>
      </c>
      <c r="F124" s="86">
        <f t="shared" si="89"/>
        <v>0</v>
      </c>
      <c r="G124" s="86">
        <f t="shared" si="89"/>
        <v>0</v>
      </c>
      <c r="H124" s="86">
        <f t="shared" si="89"/>
        <v>0</v>
      </c>
      <c r="I124" s="86">
        <f t="shared" si="89"/>
        <v>0</v>
      </c>
      <c r="J124" s="86">
        <f>J121*J126</f>
        <v>0</v>
      </c>
      <c r="K124" s="86">
        <f t="shared" ref="K124:O124" si="90">K121*K126</f>
        <v>0</v>
      </c>
      <c r="L124" s="86">
        <f t="shared" si="90"/>
        <v>0</v>
      </c>
      <c r="M124" s="86">
        <f t="shared" si="90"/>
        <v>0</v>
      </c>
      <c r="N124" s="86">
        <f t="shared" si="90"/>
        <v>0</v>
      </c>
      <c r="O124" s="149">
        <f t="shared" si="90"/>
        <v>0</v>
      </c>
      <c r="P124" s="85"/>
    </row>
    <row r="125" spans="2:19" ht="22" customHeight="1" x14ac:dyDescent="0.2">
      <c r="B125" s="74" t="s">
        <v>111</v>
      </c>
      <c r="C125" s="86"/>
      <c r="D125" s="14">
        <v>2500</v>
      </c>
      <c r="E125" s="14">
        <v>2500</v>
      </c>
      <c r="F125" s="14">
        <v>2500</v>
      </c>
      <c r="G125" s="14">
        <v>2500</v>
      </c>
      <c r="H125" s="14">
        <v>2500</v>
      </c>
      <c r="I125" s="14">
        <v>2500</v>
      </c>
      <c r="J125" s="14">
        <v>2500</v>
      </c>
      <c r="K125" s="14">
        <v>2500</v>
      </c>
      <c r="L125" s="14">
        <v>2500</v>
      </c>
      <c r="M125" s="14">
        <v>2500</v>
      </c>
      <c r="N125" s="14">
        <v>2500</v>
      </c>
      <c r="O125" s="96">
        <v>2500</v>
      </c>
      <c r="P125" s="16"/>
      <c r="Q125" s="2"/>
    </row>
    <row r="126" spans="2:19" ht="22" customHeight="1" x14ac:dyDescent="0.2">
      <c r="B126" s="74" t="s">
        <v>112</v>
      </c>
      <c r="C126" s="150"/>
      <c r="D126" s="151">
        <v>0.06</v>
      </c>
      <c r="E126" s="150">
        <v>0.06</v>
      </c>
      <c r="F126" s="150">
        <v>0.06</v>
      </c>
      <c r="G126" s="150">
        <v>0.06</v>
      </c>
      <c r="H126" s="150">
        <v>0.06</v>
      </c>
      <c r="I126" s="150">
        <v>0.06</v>
      </c>
      <c r="J126" s="150">
        <v>0.06</v>
      </c>
      <c r="K126" s="150">
        <v>0.06</v>
      </c>
      <c r="L126" s="150">
        <v>0.06</v>
      </c>
      <c r="M126" s="150">
        <v>0.06</v>
      </c>
      <c r="N126" s="150">
        <v>0.06</v>
      </c>
      <c r="O126" s="152">
        <v>0.06</v>
      </c>
      <c r="P126" s="153"/>
      <c r="Q126" s="2"/>
    </row>
    <row r="127" spans="2:19" ht="22" customHeight="1" x14ac:dyDescent="0.2">
      <c r="B127" s="141" t="s">
        <v>113</v>
      </c>
      <c r="C127" s="154">
        <v>0</v>
      </c>
      <c r="D127" s="154">
        <f>C130</f>
        <v>8450</v>
      </c>
      <c r="E127" s="154">
        <f>D130</f>
        <v>9450</v>
      </c>
      <c r="F127" s="154">
        <f t="shared" ref="F127:I127" si="91">E130</f>
        <v>9450</v>
      </c>
      <c r="G127" s="154">
        <f t="shared" si="91"/>
        <v>9450</v>
      </c>
      <c r="H127" s="154">
        <f t="shared" si="91"/>
        <v>9450</v>
      </c>
      <c r="I127" s="154">
        <f t="shared" si="91"/>
        <v>9450</v>
      </c>
      <c r="J127" s="154">
        <f>I130</f>
        <v>9450</v>
      </c>
      <c r="K127" s="154">
        <f t="shared" ref="K127" si="92">J130</f>
        <v>9450</v>
      </c>
      <c r="L127" s="154">
        <f>K130</f>
        <v>9450</v>
      </c>
      <c r="M127" s="154">
        <f>L130</f>
        <v>9450</v>
      </c>
      <c r="N127" s="154">
        <f>M130</f>
        <v>9450</v>
      </c>
      <c r="O127" s="155">
        <f t="shared" ref="O127" si="93">N130</f>
        <v>9450</v>
      </c>
      <c r="P127" s="50"/>
    </row>
    <row r="128" spans="2:19" ht="22" customHeight="1" x14ac:dyDescent="0.2">
      <c r="B128" s="74" t="s">
        <v>114</v>
      </c>
      <c r="C128" s="156"/>
      <c r="D128" s="20">
        <v>1000</v>
      </c>
      <c r="E128" s="16">
        <v>107</v>
      </c>
      <c r="F128" s="16">
        <v>607</v>
      </c>
      <c r="G128" s="16">
        <v>1780</v>
      </c>
      <c r="H128" s="16">
        <v>1493</v>
      </c>
      <c r="I128" s="16">
        <v>700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13">
        <v>0</v>
      </c>
      <c r="P128" s="16"/>
      <c r="Q128" s="157"/>
      <c r="R128" s="157"/>
      <c r="S128" s="157"/>
    </row>
    <row r="129" spans="2:19" ht="22" customHeight="1" x14ac:dyDescent="0.2">
      <c r="B129" s="158" t="s">
        <v>115</v>
      </c>
      <c r="C129" s="156"/>
      <c r="D129" s="502">
        <v>0</v>
      </c>
      <c r="E129" s="16">
        <v>-107</v>
      </c>
      <c r="F129" s="16">
        <v>-607</v>
      </c>
      <c r="G129" s="16">
        <v>-1780</v>
      </c>
      <c r="H129" s="16">
        <v>-1493</v>
      </c>
      <c r="I129" s="16">
        <v>-700</v>
      </c>
      <c r="J129" s="16">
        <v>0</v>
      </c>
      <c r="K129" s="16">
        <v>0</v>
      </c>
      <c r="L129" s="16">
        <f>K129*1.05</f>
        <v>0</v>
      </c>
      <c r="M129" s="16">
        <f>L129*1.05</f>
        <v>0</v>
      </c>
      <c r="N129" s="16">
        <f>M129*1.05</f>
        <v>0</v>
      </c>
      <c r="O129" s="113">
        <f>N129*1.05</f>
        <v>0</v>
      </c>
      <c r="P129" s="16"/>
      <c r="Q129" s="157"/>
      <c r="R129" s="157"/>
      <c r="S129" s="157"/>
    </row>
    <row r="130" spans="2:19" ht="22" customHeight="1" x14ac:dyDescent="0.2">
      <c r="B130" s="100" t="s">
        <v>116</v>
      </c>
      <c r="C130" s="159">
        <v>8450</v>
      </c>
      <c r="D130" s="159">
        <f t="shared" ref="D130:O130" si="94">SUM(D127:D129)</f>
        <v>9450</v>
      </c>
      <c r="E130" s="159">
        <f t="shared" si="94"/>
        <v>9450</v>
      </c>
      <c r="F130" s="159">
        <f t="shared" si="94"/>
        <v>9450</v>
      </c>
      <c r="G130" s="159">
        <f t="shared" si="94"/>
        <v>9450</v>
      </c>
      <c r="H130" s="159">
        <f t="shared" si="94"/>
        <v>9450</v>
      </c>
      <c r="I130" s="159">
        <f t="shared" si="94"/>
        <v>9450</v>
      </c>
      <c r="J130" s="159">
        <f>SUM(J127:J129)</f>
        <v>9450</v>
      </c>
      <c r="K130" s="159">
        <f t="shared" si="94"/>
        <v>9450</v>
      </c>
      <c r="L130" s="159">
        <f t="shared" si="94"/>
        <v>9450</v>
      </c>
      <c r="M130" s="159">
        <f t="shared" si="94"/>
        <v>9450</v>
      </c>
      <c r="N130" s="159">
        <f t="shared" si="94"/>
        <v>9450</v>
      </c>
      <c r="O130" s="160">
        <f t="shared" si="94"/>
        <v>9450</v>
      </c>
      <c r="P130" s="161"/>
    </row>
    <row r="131" spans="2:19" ht="22" customHeight="1" x14ac:dyDescent="0.2">
      <c r="B131" s="74" t="s">
        <v>110</v>
      </c>
      <c r="C131" s="51"/>
      <c r="D131" s="51">
        <f t="shared" ref="D131:O131" si="95">D127*D132</f>
        <v>367.57499999999999</v>
      </c>
      <c r="E131" s="51">
        <f t="shared" si="95"/>
        <v>425.25</v>
      </c>
      <c r="F131" s="51">
        <f t="shared" si="95"/>
        <v>425.25</v>
      </c>
      <c r="G131" s="51">
        <f t="shared" si="95"/>
        <v>425.25</v>
      </c>
      <c r="H131" s="51">
        <f t="shared" si="95"/>
        <v>425.25</v>
      </c>
      <c r="I131" s="51">
        <f t="shared" si="95"/>
        <v>425.25</v>
      </c>
      <c r="J131" s="51">
        <f t="shared" si="95"/>
        <v>425.25</v>
      </c>
      <c r="K131" s="51">
        <f t="shared" si="95"/>
        <v>425.25</v>
      </c>
      <c r="L131" s="51">
        <f t="shared" si="95"/>
        <v>425.25</v>
      </c>
      <c r="M131" s="51">
        <f t="shared" si="95"/>
        <v>425.25</v>
      </c>
      <c r="N131" s="51">
        <f t="shared" si="95"/>
        <v>425.25</v>
      </c>
      <c r="O131" s="75">
        <f t="shared" si="95"/>
        <v>425.25</v>
      </c>
      <c r="P131" s="50"/>
    </row>
    <row r="132" spans="2:19" ht="22" customHeight="1" x14ac:dyDescent="0.2">
      <c r="B132" s="74" t="s">
        <v>117</v>
      </c>
      <c r="C132" s="151">
        <v>4.8399999999999999E-2</v>
      </c>
      <c r="D132" s="162">
        <v>4.3499999999999997E-2</v>
      </c>
      <c r="E132" s="150">
        <v>4.4999999999999998E-2</v>
      </c>
      <c r="F132" s="150">
        <v>4.4999999999999998E-2</v>
      </c>
      <c r="G132" s="150">
        <v>4.4999999999999998E-2</v>
      </c>
      <c r="H132" s="150">
        <v>4.4999999999999998E-2</v>
      </c>
      <c r="I132" s="150">
        <v>4.4999999999999998E-2</v>
      </c>
      <c r="J132" s="150">
        <v>4.4999999999999998E-2</v>
      </c>
      <c r="K132" s="150">
        <v>4.4999999999999998E-2</v>
      </c>
      <c r="L132" s="150">
        <v>4.4999999999999998E-2</v>
      </c>
      <c r="M132" s="150">
        <v>4.4999999999999998E-2</v>
      </c>
      <c r="N132" s="150">
        <v>4.4999999999999998E-2</v>
      </c>
      <c r="O132" s="152">
        <v>4.4999999999999998E-2</v>
      </c>
      <c r="P132" s="153"/>
    </row>
    <row r="133" spans="2:19" ht="22" customHeight="1" x14ac:dyDescent="0.2">
      <c r="B133" s="163" t="s">
        <v>118</v>
      </c>
      <c r="C133" s="164"/>
      <c r="D133" s="165">
        <f t="shared" ref="D133:O133" si="96">C137</f>
        <v>3627</v>
      </c>
      <c r="E133" s="166">
        <f t="shared" si="96"/>
        <v>1987</v>
      </c>
      <c r="F133" s="166">
        <f t="shared" ca="1" si="96"/>
        <v>1590.0838083967928</v>
      </c>
      <c r="G133" s="166">
        <f ca="1">F137</f>
        <v>1111.0284695417392</v>
      </c>
      <c r="H133" s="166">
        <f t="shared" ca="1" si="96"/>
        <v>546.83161839090837</v>
      </c>
      <c r="I133" s="166">
        <f t="shared" ca="1" si="96"/>
        <v>0</v>
      </c>
      <c r="J133" s="166">
        <f t="shared" ca="1" si="96"/>
        <v>0</v>
      </c>
      <c r="K133" s="166">
        <f t="shared" ca="1" si="96"/>
        <v>0</v>
      </c>
      <c r="L133" s="166">
        <f t="shared" ca="1" si="96"/>
        <v>0</v>
      </c>
      <c r="M133" s="166">
        <f t="shared" ca="1" si="96"/>
        <v>0</v>
      </c>
      <c r="N133" s="166">
        <f t="shared" ca="1" si="96"/>
        <v>0</v>
      </c>
      <c r="O133" s="167">
        <f t="shared" ca="1" si="96"/>
        <v>0</v>
      </c>
      <c r="P133" s="117"/>
    </row>
    <row r="134" spans="2:19" ht="22" customHeight="1" x14ac:dyDescent="0.2">
      <c r="B134" s="163" t="s">
        <v>26</v>
      </c>
      <c r="C134" s="164"/>
      <c r="D134" s="165"/>
      <c r="E134" s="166">
        <f t="shared" ref="E134:O134" ca="1" si="97">E59+E53+D69</f>
        <v>7938.3238320641412</v>
      </c>
      <c r="F134" s="166">
        <f t="shared" ca="1" si="97"/>
        <v>9581.1067771010712</v>
      </c>
      <c r="G134" s="166">
        <f t="shared" ca="1" si="97"/>
        <v>11283.937023016617</v>
      </c>
      <c r="H134" s="166">
        <f t="shared" ca="1" si="97"/>
        <v>12004.413531139089</v>
      </c>
      <c r="I134" s="166">
        <f t="shared" ca="1" si="97"/>
        <v>11918.140278184273</v>
      </c>
      <c r="J134" s="166">
        <f t="shared" ca="1" si="97"/>
        <v>12676.710444696255</v>
      </c>
      <c r="K134" s="166">
        <f t="shared" ca="1" si="97"/>
        <v>17845.619514293812</v>
      </c>
      <c r="L134" s="166">
        <f t="shared" ca="1" si="97"/>
        <v>24300.891219583591</v>
      </c>
      <c r="M134" s="166">
        <f t="shared" ca="1" si="97"/>
        <v>30260.41541232348</v>
      </c>
      <c r="N134" s="166">
        <f t="shared" ca="1" si="97"/>
        <v>33383.862578000859</v>
      </c>
      <c r="O134" s="167">
        <f t="shared" ca="1" si="97"/>
        <v>36456.691105364138</v>
      </c>
      <c r="P134" s="117"/>
    </row>
    <row r="135" spans="2:19" ht="22" customHeight="1" x14ac:dyDescent="0.2">
      <c r="B135" s="74" t="s">
        <v>119</v>
      </c>
      <c r="C135" s="168"/>
      <c r="D135" s="115">
        <v>0</v>
      </c>
      <c r="E135" s="169">
        <f ca="1">IF(E134&gt;=1000,0,-E134+1000)</f>
        <v>0</v>
      </c>
      <c r="F135" s="169">
        <f t="shared" ref="F135:O135" ca="1" si="98">IF(F134&gt;=1000,0,-F134+1000)</f>
        <v>0</v>
      </c>
      <c r="G135" s="169">
        <f t="shared" ca="1" si="98"/>
        <v>0</v>
      </c>
      <c r="H135" s="169">
        <f t="shared" ca="1" si="98"/>
        <v>0</v>
      </c>
      <c r="I135" s="169">
        <f t="shared" ca="1" si="98"/>
        <v>0</v>
      </c>
      <c r="J135" s="169">
        <f t="shared" ca="1" si="98"/>
        <v>0</v>
      </c>
      <c r="K135" s="169">
        <f t="shared" ca="1" si="98"/>
        <v>0</v>
      </c>
      <c r="L135" s="169">
        <f t="shared" ca="1" si="98"/>
        <v>0</v>
      </c>
      <c r="M135" s="169">
        <f t="shared" ca="1" si="98"/>
        <v>0</v>
      </c>
      <c r="N135" s="169">
        <f t="shared" ca="1" si="98"/>
        <v>0</v>
      </c>
      <c r="O135" s="170">
        <f t="shared" ca="1" si="98"/>
        <v>0</v>
      </c>
      <c r="P135" s="117"/>
    </row>
    <row r="136" spans="2:19" ht="22" customHeight="1" x14ac:dyDescent="0.2">
      <c r="B136" s="158" t="s">
        <v>115</v>
      </c>
      <c r="C136" s="115"/>
      <c r="D136" s="115">
        <f>-588-402-650</f>
        <v>-1640</v>
      </c>
      <c r="E136" s="169">
        <f ca="1">-IF(AND(E134&gt;1000,E133&gt;0),E134*5%,0)</f>
        <v>-396.9161916032071</v>
      </c>
      <c r="F136" s="169">
        <f t="shared" ref="F136:O136" ca="1" si="99">-IF(AND(F134&gt;1000,F133&gt;0),F134*5%,0)</f>
        <v>-479.05533885505361</v>
      </c>
      <c r="G136" s="169">
        <f t="shared" ca="1" si="99"/>
        <v>-564.19685115083087</v>
      </c>
      <c r="H136" s="169">
        <f t="shared" ca="1" si="99"/>
        <v>-600.22067655695446</v>
      </c>
      <c r="I136" s="169">
        <f t="shared" ca="1" si="99"/>
        <v>0</v>
      </c>
      <c r="J136" s="169">
        <f t="shared" ca="1" si="99"/>
        <v>0</v>
      </c>
      <c r="K136" s="169">
        <f t="shared" ca="1" si="99"/>
        <v>0</v>
      </c>
      <c r="L136" s="169">
        <f t="shared" ca="1" si="99"/>
        <v>0</v>
      </c>
      <c r="M136" s="169">
        <f t="shared" ca="1" si="99"/>
        <v>0</v>
      </c>
      <c r="N136" s="169">
        <f t="shared" ca="1" si="99"/>
        <v>0</v>
      </c>
      <c r="O136" s="170">
        <f t="shared" ca="1" si="99"/>
        <v>0</v>
      </c>
      <c r="P136" s="117"/>
      <c r="R136" s="57"/>
    </row>
    <row r="137" spans="2:19" ht="22" customHeight="1" x14ac:dyDescent="0.2">
      <c r="B137" s="100" t="s">
        <v>120</v>
      </c>
      <c r="C137" s="159">
        <v>3627</v>
      </c>
      <c r="D137" s="159">
        <f>MAX(0,D133+D135+D136)</f>
        <v>1987</v>
      </c>
      <c r="E137" s="159">
        <f t="shared" ref="E137:O137" ca="1" si="100">MAX(0,E133+E135+E136)</f>
        <v>1590.0838083967928</v>
      </c>
      <c r="F137" s="159">
        <f t="shared" ca="1" si="100"/>
        <v>1111.0284695417392</v>
      </c>
      <c r="G137" s="159">
        <f t="shared" ca="1" si="100"/>
        <v>546.83161839090837</v>
      </c>
      <c r="H137" s="159">
        <f t="shared" ca="1" si="100"/>
        <v>0</v>
      </c>
      <c r="I137" s="159">
        <f t="shared" ca="1" si="100"/>
        <v>0</v>
      </c>
      <c r="J137" s="159">
        <f t="shared" ca="1" si="100"/>
        <v>0</v>
      </c>
      <c r="K137" s="159">
        <f t="shared" ca="1" si="100"/>
        <v>0</v>
      </c>
      <c r="L137" s="159">
        <f t="shared" ca="1" si="100"/>
        <v>0</v>
      </c>
      <c r="M137" s="159">
        <f t="shared" ca="1" si="100"/>
        <v>0</v>
      </c>
      <c r="N137" s="159">
        <f t="shared" ca="1" si="100"/>
        <v>0</v>
      </c>
      <c r="O137" s="160">
        <f t="shared" ca="1" si="100"/>
        <v>0</v>
      </c>
      <c r="P137" s="161"/>
    </row>
    <row r="138" spans="2:19" ht="22" customHeight="1" x14ac:dyDescent="0.2">
      <c r="B138" s="74" t="s">
        <v>110</v>
      </c>
      <c r="C138" s="115"/>
      <c r="D138" s="20">
        <f t="shared" ref="D138:O138" si="101">D133*D139</f>
        <v>254.43405000000001</v>
      </c>
      <c r="E138" s="20">
        <f t="shared" si="101"/>
        <v>139.38805000000002</v>
      </c>
      <c r="F138" s="20">
        <f t="shared" ca="1" si="101"/>
        <v>111.54437915903503</v>
      </c>
      <c r="G138" s="20">
        <f t="shared" ca="1" si="101"/>
        <v>77.938647138353019</v>
      </c>
      <c r="H138" s="20">
        <f t="shared" ca="1" si="101"/>
        <v>38.360238030122225</v>
      </c>
      <c r="I138" s="20">
        <f t="shared" ca="1" si="101"/>
        <v>0</v>
      </c>
      <c r="J138" s="20">
        <f t="shared" ca="1" si="101"/>
        <v>0</v>
      </c>
      <c r="K138" s="20">
        <f t="shared" ca="1" si="101"/>
        <v>0</v>
      </c>
      <c r="L138" s="20">
        <f t="shared" ca="1" si="101"/>
        <v>0</v>
      </c>
      <c r="M138" s="20">
        <f t="shared" ca="1" si="101"/>
        <v>0</v>
      </c>
      <c r="N138" s="20">
        <f t="shared" ca="1" si="101"/>
        <v>0</v>
      </c>
      <c r="O138" s="171">
        <f t="shared" ca="1" si="101"/>
        <v>0</v>
      </c>
      <c r="P138" s="16"/>
    </row>
    <row r="139" spans="2:19" ht="22" customHeight="1" x14ac:dyDescent="0.2">
      <c r="B139" s="74" t="s">
        <v>112</v>
      </c>
      <c r="C139" s="150"/>
      <c r="D139" s="150">
        <f t="shared" ref="D139:O139" si="102">AVERAGE(0.0695,0.0708)</f>
        <v>7.0150000000000004E-2</v>
      </c>
      <c r="E139" s="150">
        <f t="shared" si="102"/>
        <v>7.0150000000000004E-2</v>
      </c>
      <c r="F139" s="150">
        <f t="shared" si="102"/>
        <v>7.0150000000000004E-2</v>
      </c>
      <c r="G139" s="150">
        <f t="shared" si="102"/>
        <v>7.0150000000000004E-2</v>
      </c>
      <c r="H139" s="150">
        <f t="shared" si="102"/>
        <v>7.0150000000000004E-2</v>
      </c>
      <c r="I139" s="150">
        <f t="shared" si="102"/>
        <v>7.0150000000000004E-2</v>
      </c>
      <c r="J139" s="150">
        <f t="shared" si="102"/>
        <v>7.0150000000000004E-2</v>
      </c>
      <c r="K139" s="150">
        <f t="shared" si="102"/>
        <v>7.0150000000000004E-2</v>
      </c>
      <c r="L139" s="150">
        <f t="shared" si="102"/>
        <v>7.0150000000000004E-2</v>
      </c>
      <c r="M139" s="150">
        <f t="shared" si="102"/>
        <v>7.0150000000000004E-2</v>
      </c>
      <c r="N139" s="150">
        <f t="shared" si="102"/>
        <v>7.0150000000000004E-2</v>
      </c>
      <c r="O139" s="152">
        <f t="shared" si="102"/>
        <v>7.0150000000000004E-2</v>
      </c>
      <c r="P139" s="153"/>
    </row>
    <row r="140" spans="2:19" ht="22" customHeight="1" x14ac:dyDescent="0.2">
      <c r="B140" s="141" t="s">
        <v>121</v>
      </c>
      <c r="C140" s="154">
        <v>882</v>
      </c>
      <c r="D140" s="154">
        <f>C144</f>
        <v>1281</v>
      </c>
      <c r="E140" s="154">
        <f>D144</f>
        <v>2054</v>
      </c>
      <c r="F140" s="154">
        <f>E144</f>
        <v>2411.666666666667</v>
      </c>
      <c r="G140" s="154">
        <f t="shared" ref="G140:I140" si="103">F144</f>
        <v>2654.916666666667</v>
      </c>
      <c r="H140" s="154">
        <f t="shared" si="103"/>
        <v>2953.4583333333335</v>
      </c>
      <c r="I140" s="154">
        <f t="shared" si="103"/>
        <v>3221.59375</v>
      </c>
      <c r="J140" s="154">
        <f>I144</f>
        <v>3552.4114583333335</v>
      </c>
      <c r="K140" s="154">
        <f t="shared" ref="K140:O140" si="104">J144</f>
        <v>3849.7122395833335</v>
      </c>
      <c r="L140" s="154">
        <f t="shared" si="104"/>
        <v>4105.660807291667</v>
      </c>
      <c r="M140" s="154">
        <f t="shared" si="104"/>
        <v>4324.44677734375</v>
      </c>
      <c r="N140" s="154">
        <f t="shared" si="104"/>
        <v>4611.2391764322911</v>
      </c>
      <c r="O140" s="155">
        <f t="shared" si="104"/>
        <v>4870.6833292643223</v>
      </c>
      <c r="P140" s="50"/>
    </row>
    <row r="141" spans="2:19" ht="22" customHeight="1" x14ac:dyDescent="0.2">
      <c r="B141" s="74" t="s">
        <v>122</v>
      </c>
      <c r="C141" s="48">
        <f>-109</f>
        <v>-109</v>
      </c>
      <c r="D141" s="48">
        <f>-155</f>
        <v>-155</v>
      </c>
      <c r="E141" s="50">
        <f>-D140/9</f>
        <v>-142.33333333333334</v>
      </c>
      <c r="F141" s="50">
        <f t="shared" ref="F141:O141" si="105">-E140/8</f>
        <v>-256.75</v>
      </c>
      <c r="G141" s="50">
        <f t="shared" si="105"/>
        <v>-301.45833333333337</v>
      </c>
      <c r="H141" s="50">
        <f t="shared" si="105"/>
        <v>-331.86458333333337</v>
      </c>
      <c r="I141" s="50">
        <f t="shared" si="105"/>
        <v>-369.18229166666669</v>
      </c>
      <c r="J141" s="127">
        <f t="shared" si="105"/>
        <v>-402.69921875</v>
      </c>
      <c r="K141" s="127">
        <f t="shared" si="105"/>
        <v>-444.05143229166669</v>
      </c>
      <c r="L141" s="127">
        <f t="shared" si="105"/>
        <v>-481.21402994791669</v>
      </c>
      <c r="M141" s="127">
        <f t="shared" si="105"/>
        <v>-513.20760091145837</v>
      </c>
      <c r="N141" s="127">
        <f t="shared" si="105"/>
        <v>-540.55584716796875</v>
      </c>
      <c r="O141" s="128">
        <f t="shared" si="105"/>
        <v>-576.40489705403638</v>
      </c>
      <c r="P141" s="50"/>
    </row>
    <row r="142" spans="2:19" ht="22" customHeight="1" x14ac:dyDescent="0.2">
      <c r="B142" s="74" t="s">
        <v>110</v>
      </c>
      <c r="C142" s="48">
        <v>24</v>
      </c>
      <c r="D142" s="48">
        <f>70</f>
        <v>70</v>
      </c>
      <c r="E142" s="48">
        <f>E140*E145</f>
        <v>100.646</v>
      </c>
      <c r="F142" s="48">
        <f t="shared" ref="F142:J142" si="106">F140*F145</f>
        <v>118.17166666666668</v>
      </c>
      <c r="G142" s="48">
        <f t="shared" si="106"/>
        <v>130.09091666666669</v>
      </c>
      <c r="H142" s="48">
        <f t="shared" si="106"/>
        <v>144.71945833333334</v>
      </c>
      <c r="I142" s="48">
        <f>I140*I145</f>
        <v>157.85809374999999</v>
      </c>
      <c r="J142" s="48">
        <f t="shared" si="106"/>
        <v>174.06816145833335</v>
      </c>
      <c r="K142" s="51">
        <f>K140*K145</f>
        <v>188.63589973958335</v>
      </c>
      <c r="L142" s="51">
        <f>L140*L145</f>
        <v>201.17737955729169</v>
      </c>
      <c r="M142" s="51">
        <f>M140*M145</f>
        <v>211.89789208984377</v>
      </c>
      <c r="N142" s="51">
        <f>N140*N145</f>
        <v>225.95071964518226</v>
      </c>
      <c r="O142" s="75">
        <f>O140*O145</f>
        <v>238.66348313395181</v>
      </c>
      <c r="P142" s="50"/>
    </row>
    <row r="143" spans="2:19" ht="22" customHeight="1" x14ac:dyDescent="0.2">
      <c r="B143" s="74" t="s">
        <v>123</v>
      </c>
      <c r="C143" s="48">
        <v>508</v>
      </c>
      <c r="D143" s="48">
        <f>D144-D140-D141</f>
        <v>928</v>
      </c>
      <c r="E143" s="127">
        <v>500</v>
      </c>
      <c r="F143" s="127">
        <v>500</v>
      </c>
      <c r="G143" s="127">
        <v>600</v>
      </c>
      <c r="H143" s="127">
        <v>600</v>
      </c>
      <c r="I143" s="127">
        <v>700</v>
      </c>
      <c r="J143" s="127">
        <v>700</v>
      </c>
      <c r="K143" s="127">
        <v>700</v>
      </c>
      <c r="L143" s="127">
        <v>700</v>
      </c>
      <c r="M143" s="127">
        <v>800</v>
      </c>
      <c r="N143" s="127">
        <v>800</v>
      </c>
      <c r="O143" s="128">
        <v>800</v>
      </c>
      <c r="P143" s="50"/>
    </row>
    <row r="144" spans="2:19" ht="22" customHeight="1" x14ac:dyDescent="0.2">
      <c r="B144" s="100" t="s">
        <v>124</v>
      </c>
      <c r="C144" s="54">
        <f>C140+C141+C143</f>
        <v>1281</v>
      </c>
      <c r="D144" s="54">
        <v>2054</v>
      </c>
      <c r="E144" s="54">
        <f t="shared" ref="E144:O144" si="107">E140+E141+E143</f>
        <v>2411.666666666667</v>
      </c>
      <c r="F144" s="54">
        <f t="shared" si="107"/>
        <v>2654.916666666667</v>
      </c>
      <c r="G144" s="54">
        <f t="shared" si="107"/>
        <v>2953.4583333333335</v>
      </c>
      <c r="H144" s="54">
        <f t="shared" si="107"/>
        <v>3221.59375</v>
      </c>
      <c r="I144" s="54">
        <f t="shared" si="107"/>
        <v>3552.4114583333335</v>
      </c>
      <c r="J144" s="54">
        <f t="shared" si="107"/>
        <v>3849.7122395833335</v>
      </c>
      <c r="K144" s="63">
        <f t="shared" si="107"/>
        <v>4105.660807291667</v>
      </c>
      <c r="L144" s="63">
        <f t="shared" si="107"/>
        <v>4324.44677734375</v>
      </c>
      <c r="M144" s="63">
        <f t="shared" si="107"/>
        <v>4611.2391764322911</v>
      </c>
      <c r="N144" s="63">
        <f t="shared" si="107"/>
        <v>4870.6833292643223</v>
      </c>
      <c r="O144" s="133">
        <f t="shared" si="107"/>
        <v>5094.2784322102862</v>
      </c>
      <c r="P144" s="56"/>
    </row>
    <row r="145" spans="2:16" ht="22" customHeight="1" x14ac:dyDescent="0.2">
      <c r="B145" s="74" t="s">
        <v>112</v>
      </c>
      <c r="C145" s="151">
        <v>3.8600000000000002E-2</v>
      </c>
      <c r="D145" s="151">
        <v>4.9000000000000002E-2</v>
      </c>
      <c r="E145" s="150">
        <v>4.9000000000000002E-2</v>
      </c>
      <c r="F145" s="150">
        <v>4.9000000000000002E-2</v>
      </c>
      <c r="G145" s="150">
        <v>4.9000000000000002E-2</v>
      </c>
      <c r="H145" s="150">
        <v>4.9000000000000002E-2</v>
      </c>
      <c r="I145" s="150">
        <v>4.9000000000000002E-2</v>
      </c>
      <c r="J145" s="150">
        <v>4.9000000000000002E-2</v>
      </c>
      <c r="K145" s="150">
        <v>4.9000000000000002E-2</v>
      </c>
      <c r="L145" s="150">
        <v>4.9000000000000002E-2</v>
      </c>
      <c r="M145" s="150">
        <v>4.9000000000000002E-2</v>
      </c>
      <c r="N145" s="150">
        <v>4.9000000000000002E-2</v>
      </c>
      <c r="O145" s="152">
        <v>4.9000000000000002E-2</v>
      </c>
      <c r="P145" s="153"/>
    </row>
    <row r="146" spans="2:16" ht="22" customHeight="1" x14ac:dyDescent="0.2">
      <c r="B146" s="506" t="s">
        <v>125</v>
      </c>
      <c r="C146" s="507">
        <f>C142+C131+C124</f>
        <v>24</v>
      </c>
      <c r="D146" s="508">
        <f>D142+D131+D124</f>
        <v>437.57499999999999</v>
      </c>
      <c r="E146" s="507">
        <f t="shared" ref="E146:O146" si="108">E142+E124+E131</f>
        <v>525.89599999999996</v>
      </c>
      <c r="F146" s="507">
        <f t="shared" si="108"/>
        <v>543.42166666666662</v>
      </c>
      <c r="G146" s="507">
        <f t="shared" si="108"/>
        <v>555.34091666666666</v>
      </c>
      <c r="H146" s="507">
        <f t="shared" si="108"/>
        <v>569.96945833333336</v>
      </c>
      <c r="I146" s="507">
        <f t="shared" si="108"/>
        <v>583.10809374999997</v>
      </c>
      <c r="J146" s="507">
        <f t="shared" si="108"/>
        <v>599.31816145833341</v>
      </c>
      <c r="K146" s="507">
        <f t="shared" si="108"/>
        <v>613.88589973958335</v>
      </c>
      <c r="L146" s="507">
        <f t="shared" si="108"/>
        <v>626.42737955729172</v>
      </c>
      <c r="M146" s="507">
        <f t="shared" si="108"/>
        <v>637.14789208984371</v>
      </c>
      <c r="N146" s="507">
        <f t="shared" si="108"/>
        <v>651.20071964518229</v>
      </c>
      <c r="O146" s="509">
        <f t="shared" si="108"/>
        <v>663.91348313395179</v>
      </c>
      <c r="P146" s="50"/>
    </row>
    <row r="147" spans="2:16" ht="22" customHeight="1" x14ac:dyDescent="0.2">
      <c r="B147" s="172" t="s">
        <v>42</v>
      </c>
      <c r="C147" s="173">
        <f>C144+C130</f>
        <v>9731</v>
      </c>
      <c r="D147" s="173">
        <f>D144+D130+D137+D123</f>
        <v>13491</v>
      </c>
      <c r="E147" s="173">
        <f ca="1">E144+E130+E137+E123</f>
        <v>13451.750475063462</v>
      </c>
      <c r="F147" s="173">
        <f t="shared" ref="F147:O147" ca="1" si="109">F144+F130+F137+F123</f>
        <v>13215.945136208407</v>
      </c>
      <c r="G147" s="173">
        <f t="shared" ca="1" si="109"/>
        <v>12950.289951724242</v>
      </c>
      <c r="H147" s="173">
        <f t="shared" ca="1" si="109"/>
        <v>12671.59375</v>
      </c>
      <c r="I147" s="173">
        <f t="shared" ca="1" si="109"/>
        <v>13002.411458333334</v>
      </c>
      <c r="J147" s="173">
        <f t="shared" ca="1" si="109"/>
        <v>13299.712239583334</v>
      </c>
      <c r="K147" s="173">
        <f t="shared" ca="1" si="109"/>
        <v>13555.660807291668</v>
      </c>
      <c r="L147" s="173">
        <f t="shared" ca="1" si="109"/>
        <v>13774.44677734375</v>
      </c>
      <c r="M147" s="173">
        <f t="shared" ca="1" si="109"/>
        <v>14061.239176432291</v>
      </c>
      <c r="N147" s="173">
        <f t="shared" ca="1" si="109"/>
        <v>14320.683329264322</v>
      </c>
      <c r="O147" s="174">
        <f t="shared" ca="1" si="109"/>
        <v>14544.278432210285</v>
      </c>
      <c r="P147" s="50"/>
    </row>
    <row r="148" spans="2:16" ht="22" customHeight="1" x14ac:dyDescent="0.2">
      <c r="B148" s="74"/>
      <c r="D148" s="57"/>
      <c r="O148" s="84"/>
    </row>
    <row r="149" spans="2:16" ht="22" customHeight="1" x14ac:dyDescent="0.2">
      <c r="B149" s="74" t="s">
        <v>126</v>
      </c>
      <c r="C149" s="503"/>
      <c r="D149" s="503"/>
      <c r="E149" s="503">
        <f t="shared" ref="E149:O149" si="110">E10/E146</f>
        <v>36.378951909503023</v>
      </c>
      <c r="F149" s="503">
        <f t="shared" si="110"/>
        <v>46.528763929229761</v>
      </c>
      <c r="G149" s="503">
        <f t="shared" si="110"/>
        <v>52.376930721921489</v>
      </c>
      <c r="H149" s="503">
        <f t="shared" si="110"/>
        <v>51.978110239923922</v>
      </c>
      <c r="I149" s="503">
        <f t="shared" si="110"/>
        <v>55.632666359414543</v>
      </c>
      <c r="J149" s="503">
        <f t="shared" si="110"/>
        <v>54.193268735277499</v>
      </c>
      <c r="K149" s="503">
        <f t="shared" si="110"/>
        <v>71.164887443787094</v>
      </c>
      <c r="L149" s="503">
        <f t="shared" si="110"/>
        <v>93.1618444741937</v>
      </c>
      <c r="M149" s="503">
        <f t="shared" si="110"/>
        <v>109.16753642843598</v>
      </c>
      <c r="N149" s="503">
        <f t="shared" si="110"/>
        <v>119.02364881060349</v>
      </c>
      <c r="O149" s="504">
        <f t="shared" si="110"/>
        <v>126.8498521923562</v>
      </c>
      <c r="P149" s="175"/>
    </row>
    <row r="150" spans="2:16" ht="22" customHeight="1" x14ac:dyDescent="0.2">
      <c r="B150" s="74" t="s">
        <v>127</v>
      </c>
      <c r="C150" s="503"/>
      <c r="D150" s="503"/>
      <c r="E150" s="503">
        <f t="shared" ref="E150:O150" si="111">(E10+E8)/(E146+E107)</f>
        <v>35.111676155905656</v>
      </c>
      <c r="F150" s="503">
        <f t="shared" si="111"/>
        <v>45.064819737219956</v>
      </c>
      <c r="G150" s="503">
        <f t="shared" si="111"/>
        <v>50.92928847195391</v>
      </c>
      <c r="H150" s="503">
        <f t="shared" si="111"/>
        <v>50.776498688003961</v>
      </c>
      <c r="I150" s="503">
        <f t="shared" si="111"/>
        <v>54.562826438980125</v>
      </c>
      <c r="J150" s="503">
        <f t="shared" si="111"/>
        <v>53.386676349953447</v>
      </c>
      <c r="K150" s="503">
        <f t="shared" si="111"/>
        <v>70.282515523809536</v>
      </c>
      <c r="L150" s="503">
        <f t="shared" si="111"/>
        <v>92.238233039275883</v>
      </c>
      <c r="M150" s="503">
        <f t="shared" si="111"/>
        <v>108.39002885917242</v>
      </c>
      <c r="N150" s="503">
        <f t="shared" si="111"/>
        <v>118.51685680509719</v>
      </c>
      <c r="O150" s="504">
        <f t="shared" si="111"/>
        <v>126.64706531841499</v>
      </c>
      <c r="P150" s="175"/>
    </row>
    <row r="151" spans="2:16" ht="22" customHeight="1" x14ac:dyDescent="0.2">
      <c r="B151" s="74" t="s">
        <v>128</v>
      </c>
      <c r="C151" s="503"/>
      <c r="D151" s="503"/>
      <c r="E151" s="503">
        <f t="shared" ref="E151:O151" si="112">(E10+E8)/(E146+E99)</f>
        <v>28.669828586002872</v>
      </c>
      <c r="F151" s="503">
        <f t="shared" si="112"/>
        <v>36.47443574427728</v>
      </c>
      <c r="G151" s="503">
        <f t="shared" si="112"/>
        <v>40.738681526148518</v>
      </c>
      <c r="H151" s="503">
        <f t="shared" si="112"/>
        <v>40.131098274888586</v>
      </c>
      <c r="I151" s="503">
        <f t="shared" si="112"/>
        <v>42.530336956644014</v>
      </c>
      <c r="J151" s="503">
        <f t="shared" si="112"/>
        <v>41.029904062153577</v>
      </c>
      <c r="K151" s="503">
        <f t="shared" si="112"/>
        <v>53.143808934208295</v>
      </c>
      <c r="L151" s="503">
        <f t="shared" si="112"/>
        <v>68.450017414158296</v>
      </c>
      <c r="M151" s="503">
        <f t="shared" si="112"/>
        <v>78.733724126066107</v>
      </c>
      <c r="N151" s="503">
        <f t="shared" si="112"/>
        <v>84.215487720645072</v>
      </c>
      <c r="O151" s="504">
        <f t="shared" si="112"/>
        <v>87.79224539993136</v>
      </c>
      <c r="P151" s="175"/>
    </row>
    <row r="152" spans="2:16" ht="22" customHeight="1" x14ac:dyDescent="0.2">
      <c r="B152" s="74" t="s">
        <v>129</v>
      </c>
      <c r="C152" s="503"/>
      <c r="D152" s="503"/>
      <c r="E152" s="503">
        <f t="shared" ref="E152:O152" ca="1" si="113">E147/E10</f>
        <v>0.70311886827584424</v>
      </c>
      <c r="F152" s="503">
        <f t="shared" ca="1" si="113"/>
        <v>0.52268466871171904</v>
      </c>
      <c r="G152" s="503">
        <f t="shared" ca="1" si="113"/>
        <v>0.44522523738309583</v>
      </c>
      <c r="H152" s="503">
        <f t="shared" ca="1" si="113"/>
        <v>0.42771961813718773</v>
      </c>
      <c r="I152" s="503">
        <f t="shared" ca="1" si="113"/>
        <v>0.40081591743961392</v>
      </c>
      <c r="J152" s="503">
        <f t="shared" ca="1" si="113"/>
        <v>0.40948637797521342</v>
      </c>
      <c r="K152" s="503">
        <f t="shared" ca="1" si="113"/>
        <v>0.31028963479264671</v>
      </c>
      <c r="L152" s="503">
        <f t="shared" ca="1" si="113"/>
        <v>0.23602899412121159</v>
      </c>
      <c r="M152" s="503">
        <f t="shared" ca="1" si="113"/>
        <v>0.20215748924803129</v>
      </c>
      <c r="N152" s="503">
        <f t="shared" ca="1" si="113"/>
        <v>0.18476325709949754</v>
      </c>
      <c r="O152" s="504">
        <f t="shared" ca="1" si="113"/>
        <v>0.17269935908759326</v>
      </c>
      <c r="P152" s="175"/>
    </row>
    <row r="153" spans="2:16" ht="22" customHeight="1" x14ac:dyDescent="0.2">
      <c r="B153" s="89" t="s">
        <v>130</v>
      </c>
      <c r="C153" s="176"/>
      <c r="D153" s="176"/>
      <c r="E153" s="176">
        <f t="shared" ref="E153:N153" ca="1" si="114">(E147+F104)/(E10+E8)</f>
        <v>0.72673010815534633</v>
      </c>
      <c r="F153" s="176">
        <f t="shared" ca="1" si="114"/>
        <v>0.53904398109756624</v>
      </c>
      <c r="G153" s="176">
        <f t="shared" ca="1" si="114"/>
        <v>0.45763648072714652</v>
      </c>
      <c r="H153" s="176">
        <f t="shared" ca="1" si="114"/>
        <v>0.43782365447365384</v>
      </c>
      <c r="I153" s="176">
        <f t="shared" ca="1" si="114"/>
        <v>0.40822551388654182</v>
      </c>
      <c r="J153" s="176">
        <f t="shared" ca="1" si="114"/>
        <v>0.41490225515623386</v>
      </c>
      <c r="K153" s="176">
        <f t="shared" ca="1" si="114"/>
        <v>0.31339405197953979</v>
      </c>
      <c r="L153" s="176">
        <f t="shared" ca="1" si="114"/>
        <v>0.23765606974416245</v>
      </c>
      <c r="M153" s="176">
        <f t="shared" ca="1" si="114"/>
        <v>0.2028769501878416</v>
      </c>
      <c r="N153" s="176">
        <f t="shared" ca="1" si="114"/>
        <v>0.18484303113587358</v>
      </c>
      <c r="O153" s="505">
        <f ca="1">(O147+Q104)/(O10+O8)</f>
        <v>0.17208885652939709</v>
      </c>
      <c r="P153" s="177"/>
    </row>
    <row r="155" spans="2:16" ht="22" customHeight="1" x14ac:dyDescent="0.2">
      <c r="B155" s="69" t="s">
        <v>131</v>
      </c>
      <c r="C155" s="70" t="s">
        <v>0</v>
      </c>
      <c r="D155" s="70" t="s">
        <v>1</v>
      </c>
      <c r="E155" s="70" t="s">
        <v>2</v>
      </c>
      <c r="F155" s="70" t="s">
        <v>3</v>
      </c>
      <c r="G155" s="70" t="s">
        <v>4</v>
      </c>
      <c r="H155" s="70" t="s">
        <v>5</v>
      </c>
      <c r="I155" s="70" t="s">
        <v>49</v>
      </c>
      <c r="J155" s="71" t="s">
        <v>7</v>
      </c>
      <c r="K155" s="71" t="s">
        <v>8</v>
      </c>
      <c r="L155" s="71" t="s">
        <v>9</v>
      </c>
      <c r="M155" s="71" t="s">
        <v>10</v>
      </c>
      <c r="N155" s="71" t="s">
        <v>11</v>
      </c>
      <c r="O155" s="72" t="s">
        <v>12</v>
      </c>
      <c r="P155" s="73"/>
    </row>
    <row r="156" spans="2:16" ht="22" customHeight="1" x14ac:dyDescent="0.2">
      <c r="B156" s="74" t="s">
        <v>132</v>
      </c>
      <c r="C156" s="178"/>
      <c r="D156" s="8">
        <f>C43</f>
        <v>44120</v>
      </c>
      <c r="E156" s="8">
        <f>D163</f>
        <v>45131</v>
      </c>
      <c r="F156" s="8">
        <f t="shared" ref="F156:J156" ca="1" si="115">E163</f>
        <v>53596.857244743318</v>
      </c>
      <c r="G156" s="8">
        <f t="shared" ca="1" si="115"/>
        <v>65549.72645768756</v>
      </c>
      <c r="H156" s="8">
        <f t="shared" ca="1" si="115"/>
        <v>80311.869860306586</v>
      </c>
      <c r="I156" s="8">
        <f t="shared" ca="1" si="115"/>
        <v>95737.976767231987</v>
      </c>
      <c r="J156" s="8">
        <f t="shared" ca="1" si="115"/>
        <v>113151.10866247406</v>
      </c>
      <c r="K156" s="8">
        <f ca="1">J43</f>
        <v>130777.31949702036</v>
      </c>
      <c r="L156" s="8">
        <f ca="1">K163</f>
        <v>158239.30469689119</v>
      </c>
      <c r="M156" s="8">
        <f t="shared" ref="M156:O156" ca="1" si="116">L163</f>
        <v>198285.75619078943</v>
      </c>
      <c r="N156" s="8">
        <f t="shared" ca="1" si="116"/>
        <v>248614.68067432902</v>
      </c>
      <c r="O156" s="179">
        <f t="shared" ca="1" si="116"/>
        <v>306586.97764829692</v>
      </c>
      <c r="P156" s="10"/>
    </row>
    <row r="157" spans="2:16" ht="22" customHeight="1" x14ac:dyDescent="0.2">
      <c r="B157" s="74" t="s">
        <v>133</v>
      </c>
      <c r="C157" s="180"/>
      <c r="D157" s="13"/>
      <c r="E157" s="181">
        <f t="shared" ref="E157:O157" si="117">E9</f>
        <v>1053.9016095999998</v>
      </c>
      <c r="F157" s="181">
        <f t="shared" si="117"/>
        <v>1279.5444001451997</v>
      </c>
      <c r="G157" s="181">
        <f t="shared" si="117"/>
        <v>1478.983589398063</v>
      </c>
      <c r="H157" s="181">
        <f t="shared" si="117"/>
        <v>1573.2895195734613</v>
      </c>
      <c r="I157" s="181">
        <f t="shared" si="117"/>
        <v>1599.2433715101488</v>
      </c>
      <c r="J157" s="181">
        <f t="shared" si="117"/>
        <v>1700.1872496621706</v>
      </c>
      <c r="K157" s="181">
        <f t="shared" si="117"/>
        <v>2420.7520822803003</v>
      </c>
      <c r="L157" s="181">
        <f t="shared" si="117"/>
        <v>3199.6159668536807</v>
      </c>
      <c r="M157" s="181">
        <f t="shared" si="117"/>
        <v>4011.8919227409742</v>
      </c>
      <c r="N157" s="181">
        <f t="shared" si="117"/>
        <v>4428.2629947879377</v>
      </c>
      <c r="O157" s="182">
        <f t="shared" si="117"/>
        <v>4836.4944973205884</v>
      </c>
      <c r="P157" s="10"/>
    </row>
    <row r="158" spans="2:16" ht="22" customHeight="1" x14ac:dyDescent="0.2">
      <c r="B158" s="74" t="s">
        <v>134</v>
      </c>
      <c r="C158" s="178"/>
      <c r="D158" s="8"/>
      <c r="E158" s="8">
        <f t="shared" ref="E158:O158" ca="1" si="118">E18</f>
        <v>8224.1448822709244</v>
      </c>
      <c r="F158" s="8">
        <f t="shared" ca="1" si="118"/>
        <v>11488.330250077051</v>
      </c>
      <c r="G158" s="8">
        <f t="shared" ca="1" si="118"/>
        <v>14101.554828318498</v>
      </c>
      <c r="H158" s="8">
        <f t="shared" ca="1" si="118"/>
        <v>14674.873109818247</v>
      </c>
      <c r="I158" s="8">
        <f t="shared" ca="1" si="118"/>
        <v>16639.67957089132</v>
      </c>
      <c r="J158" s="8">
        <f t="shared" ca="1" si="118"/>
        <v>16755.84017038632</v>
      </c>
      <c r="K158" s="8">
        <f t="shared" ca="1" si="118"/>
        <v>25851.714897590529</v>
      </c>
      <c r="L158" s="8">
        <f t="shared" ca="1" si="118"/>
        <v>37665.653702949276</v>
      </c>
      <c r="M158" s="8">
        <f t="shared" ca="1" si="118"/>
        <v>47146.522425981217</v>
      </c>
      <c r="N158" s="8">
        <f t="shared" ca="1" si="118"/>
        <v>54385.392600472493</v>
      </c>
      <c r="O158" s="179">
        <f t="shared" ca="1" si="118"/>
        <v>60919.461529671295</v>
      </c>
      <c r="P158" s="10"/>
    </row>
    <row r="159" spans="2:16" ht="22" customHeight="1" x14ac:dyDescent="0.2">
      <c r="B159" s="74" t="s">
        <v>135</v>
      </c>
      <c r="C159" s="178"/>
      <c r="D159" s="8"/>
      <c r="E159" s="13">
        <v>-300</v>
      </c>
      <c r="F159" s="13">
        <v>-300</v>
      </c>
      <c r="G159" s="13">
        <v>-300</v>
      </c>
      <c r="H159" s="13">
        <v>-300</v>
      </c>
      <c r="I159" s="13">
        <v>-300</v>
      </c>
      <c r="J159" s="13">
        <v>-300</v>
      </c>
      <c r="K159" s="13">
        <v>-300</v>
      </c>
      <c r="L159" s="13">
        <v>-300</v>
      </c>
      <c r="M159" s="13">
        <v>-300</v>
      </c>
      <c r="N159" s="13">
        <v>-300</v>
      </c>
      <c r="O159" s="183">
        <v>-300</v>
      </c>
      <c r="P159" s="10"/>
    </row>
    <row r="160" spans="2:16" ht="22" customHeight="1" x14ac:dyDescent="0.2">
      <c r="B160" s="74" t="s">
        <v>136</v>
      </c>
      <c r="C160" s="178"/>
      <c r="D160" s="8"/>
      <c r="E160" s="8">
        <f>(E157+E159)/160</f>
        <v>4.7118850599999984</v>
      </c>
      <c r="F160" s="8">
        <f>(F157+F159)/160</f>
        <v>6.1221525009074984</v>
      </c>
      <c r="G160" s="8">
        <f t="shared" ref="G160:J160" si="119">(G157+G159)/160</f>
        <v>7.3686474337378938</v>
      </c>
      <c r="H160" s="8">
        <f t="shared" si="119"/>
        <v>7.9580594973341334</v>
      </c>
      <c r="I160" s="8">
        <f t="shared" si="119"/>
        <v>8.1202710719384292</v>
      </c>
      <c r="J160" s="8">
        <f t="shared" si="119"/>
        <v>8.7511703103885665</v>
      </c>
      <c r="K160" s="8">
        <f>(K157+K159)/160</f>
        <v>13.254700514251876</v>
      </c>
      <c r="L160" s="8">
        <f>(L157+L159)/160</f>
        <v>18.122599792835505</v>
      </c>
      <c r="M160" s="8">
        <f t="shared" ref="M160:O160" si="120">(M157+M159)/160</f>
        <v>23.199324517131089</v>
      </c>
      <c r="N160" s="8">
        <f t="shared" si="120"/>
        <v>25.801643717424611</v>
      </c>
      <c r="O160" s="179">
        <f t="shared" si="120"/>
        <v>28.353090608253677</v>
      </c>
      <c r="P160" s="10"/>
    </row>
    <row r="161" spans="2:23" ht="22" customHeight="1" x14ac:dyDescent="0.2">
      <c r="B161" s="74" t="s">
        <v>137</v>
      </c>
      <c r="C161" s="178"/>
      <c r="D161" s="184">
        <v>1108.7429999999999</v>
      </c>
      <c r="E161" s="8">
        <f>D161+E160</f>
        <v>1113.4548850599999</v>
      </c>
      <c r="F161" s="8">
        <f t="shared" ref="F161:J161" si="121">E161+F160</f>
        <v>1119.5770375609075</v>
      </c>
      <c r="G161" s="8">
        <f t="shared" si="121"/>
        <v>1126.9456849946453</v>
      </c>
      <c r="H161" s="8">
        <f t="shared" si="121"/>
        <v>1134.9037444919793</v>
      </c>
      <c r="I161" s="8">
        <f>H161+I160</f>
        <v>1143.0240155639178</v>
      </c>
      <c r="J161" s="8">
        <f t="shared" si="121"/>
        <v>1151.7751858743063</v>
      </c>
      <c r="K161" s="184">
        <v>1109.7429999999999</v>
      </c>
      <c r="L161" s="8">
        <f>K161+L160</f>
        <v>1127.8655997928354</v>
      </c>
      <c r="M161" s="8">
        <f t="shared" ref="M161:O161" si="122">L161+M160</f>
        <v>1151.0649243099665</v>
      </c>
      <c r="N161" s="8">
        <f t="shared" si="122"/>
        <v>1176.8665680273912</v>
      </c>
      <c r="O161" s="179">
        <f t="shared" si="122"/>
        <v>1205.2196586356449</v>
      </c>
      <c r="P161" s="10"/>
    </row>
    <row r="162" spans="2:23" ht="22" customHeight="1" x14ac:dyDescent="0.2">
      <c r="B162" s="74" t="s">
        <v>138</v>
      </c>
      <c r="C162" s="185"/>
      <c r="D162" s="186"/>
      <c r="E162" s="187">
        <f>-E161*E188</f>
        <v>-512.18924712759997</v>
      </c>
      <c r="F162" s="187">
        <f t="shared" ref="F162:O162" si="123">-F161*F188</f>
        <v>-515.00543727801744</v>
      </c>
      <c r="G162" s="187">
        <f t="shared" si="123"/>
        <v>-518.39501509753688</v>
      </c>
      <c r="H162" s="187">
        <f t="shared" si="123"/>
        <v>-522.0557224663105</v>
      </c>
      <c r="I162" s="187">
        <f t="shared" si="123"/>
        <v>-525.79104715940218</v>
      </c>
      <c r="J162" s="187">
        <f t="shared" si="123"/>
        <v>-529.81658550218094</v>
      </c>
      <c r="K162" s="187">
        <f t="shared" si="123"/>
        <v>-510.48178000000001</v>
      </c>
      <c r="L162" s="187">
        <f t="shared" si="123"/>
        <v>-518.81817590470428</v>
      </c>
      <c r="M162" s="187">
        <f t="shared" si="123"/>
        <v>-529.48986518258459</v>
      </c>
      <c r="N162" s="187">
        <f t="shared" si="123"/>
        <v>-541.35862129259999</v>
      </c>
      <c r="O162" s="188">
        <f t="shared" si="123"/>
        <v>-554.40104297239668</v>
      </c>
      <c r="P162" s="189"/>
      <c r="R162" s="478"/>
      <c r="S162" s="478"/>
      <c r="T162" s="478"/>
      <c r="U162" s="478"/>
      <c r="V162" s="478"/>
      <c r="W162" s="478"/>
    </row>
    <row r="163" spans="2:23" ht="22" customHeight="1" x14ac:dyDescent="0.2">
      <c r="B163" s="172" t="s">
        <v>139</v>
      </c>
      <c r="C163" s="190">
        <v>44120</v>
      </c>
      <c r="D163" s="190">
        <v>45131</v>
      </c>
      <c r="E163" s="190">
        <f ca="1">SUM(E156,E157,E158,E159,E162)</f>
        <v>53596.857244743318</v>
      </c>
      <c r="F163" s="190">
        <f t="shared" ref="F163:O163" ca="1" si="124">SUM(F156,F157,F158,F159,F162)</f>
        <v>65549.72645768756</v>
      </c>
      <c r="G163" s="190">
        <f t="shared" ca="1" si="124"/>
        <v>80311.869860306586</v>
      </c>
      <c r="H163" s="190">
        <f t="shared" ca="1" si="124"/>
        <v>95737.976767231987</v>
      </c>
      <c r="I163" s="190">
        <f t="shared" ca="1" si="124"/>
        <v>113151.10866247406</v>
      </c>
      <c r="J163" s="190">
        <f t="shared" ca="1" si="124"/>
        <v>130777.31949702036</v>
      </c>
      <c r="K163" s="190">
        <f ca="1">SUM(K156,K157,K158,K159,K162)</f>
        <v>158239.30469689119</v>
      </c>
      <c r="L163" s="190">
        <f t="shared" ca="1" si="124"/>
        <v>198285.75619078943</v>
      </c>
      <c r="M163" s="190">
        <f t="shared" ca="1" si="124"/>
        <v>248614.68067432902</v>
      </c>
      <c r="N163" s="190">
        <f t="shared" ca="1" si="124"/>
        <v>306586.97764829692</v>
      </c>
      <c r="O163" s="191">
        <f t="shared" ca="1" si="124"/>
        <v>371488.5326323164</v>
      </c>
      <c r="P163" s="56"/>
      <c r="R163" s="486"/>
      <c r="S163" s="484"/>
      <c r="T163" s="484"/>
      <c r="U163" s="484"/>
      <c r="V163" s="483"/>
      <c r="W163" s="483"/>
    </row>
    <row r="164" spans="2:23" ht="22" customHeight="1" x14ac:dyDescent="0.35">
      <c r="C164" s="76"/>
      <c r="D164" s="76"/>
      <c r="E164" s="76"/>
      <c r="F164" s="76"/>
      <c r="G164" s="76"/>
      <c r="H164" s="76"/>
      <c r="I164" s="76"/>
      <c r="J164" s="76"/>
      <c r="R164" s="486"/>
      <c r="S164" s="484"/>
      <c r="T164" s="484"/>
      <c r="U164" s="484"/>
      <c r="V164" s="483"/>
      <c r="W164" s="483"/>
    </row>
    <row r="165" spans="2:23" ht="22" customHeight="1" x14ac:dyDescent="0.2">
      <c r="B165" s="192" t="s">
        <v>140</v>
      </c>
      <c r="C165" s="193" t="s">
        <v>0</v>
      </c>
      <c r="D165" s="71" t="s">
        <v>1</v>
      </c>
      <c r="E165" s="71" t="s">
        <v>2</v>
      </c>
      <c r="F165" s="71" t="s">
        <v>3</v>
      </c>
      <c r="G165" s="71" t="s">
        <v>4</v>
      </c>
      <c r="H165" s="71" t="s">
        <v>5</v>
      </c>
      <c r="I165" s="71" t="s">
        <v>49</v>
      </c>
      <c r="J165" s="71" t="s">
        <v>7</v>
      </c>
      <c r="K165" s="71" t="s">
        <v>8</v>
      </c>
      <c r="L165" s="71" t="s">
        <v>9</v>
      </c>
      <c r="M165" s="71" t="s">
        <v>10</v>
      </c>
      <c r="N165" s="71" t="s">
        <v>11</v>
      </c>
      <c r="O165" s="72" t="s">
        <v>12</v>
      </c>
      <c r="P165" s="73"/>
      <c r="R165" s="486"/>
      <c r="S165" s="484"/>
      <c r="T165" s="484"/>
      <c r="U165" s="484"/>
      <c r="V165" s="483"/>
      <c r="W165" s="483"/>
    </row>
    <row r="166" spans="2:23" ht="22" customHeight="1" outlineLevel="1" x14ac:dyDescent="0.2">
      <c r="B166" s="194" t="s">
        <v>141</v>
      </c>
      <c r="D166" s="495"/>
      <c r="E166" s="195"/>
      <c r="F166" s="195"/>
      <c r="G166" s="195"/>
      <c r="H166" s="195"/>
      <c r="I166" s="195"/>
      <c r="J166" s="195"/>
      <c r="O166" s="84"/>
      <c r="R166" s="487"/>
      <c r="S166" s="485"/>
      <c r="T166" s="485"/>
      <c r="U166" s="485"/>
      <c r="V166" s="483"/>
      <c r="W166" s="483"/>
    </row>
    <row r="167" spans="2:23" ht="22" customHeight="1" outlineLevel="1" x14ac:dyDescent="0.2">
      <c r="B167" s="196" t="s">
        <v>142</v>
      </c>
      <c r="D167" s="495">
        <v>100</v>
      </c>
      <c r="E167" s="495">
        <f>D167*(1+E168)</f>
        <v>119</v>
      </c>
      <c r="F167" s="495">
        <f>E167*(1+F168)</f>
        <v>140.41999999999999</v>
      </c>
      <c r="G167" s="495">
        <f t="shared" ref="G167:N167" si="125">F167*(1+G168)</f>
        <v>161.48299999999998</v>
      </c>
      <c r="H167" s="495">
        <f t="shared" si="125"/>
        <v>184.09062</v>
      </c>
      <c r="I167" s="495">
        <f t="shared" si="125"/>
        <v>206.18149440000002</v>
      </c>
      <c r="J167" s="495">
        <f t="shared" si="125"/>
        <v>228.86145878400004</v>
      </c>
      <c r="K167" s="157">
        <f t="shared" si="125"/>
        <v>251.74760466240005</v>
      </c>
      <c r="L167" s="157">
        <f t="shared" si="125"/>
        <v>271.88741303539206</v>
      </c>
      <c r="M167" s="157">
        <f t="shared" si="125"/>
        <v>290.91953194786953</v>
      </c>
      <c r="N167" s="157">
        <f t="shared" si="125"/>
        <v>308.37470386474172</v>
      </c>
      <c r="O167" s="197">
        <f>N167*(1+O168)</f>
        <v>323.79343905797884</v>
      </c>
      <c r="P167" s="198"/>
      <c r="R167" s="486"/>
      <c r="S167" s="484"/>
      <c r="T167" s="484"/>
      <c r="U167" s="484"/>
      <c r="V167" s="483"/>
      <c r="W167" s="483"/>
    </row>
    <row r="168" spans="2:23" ht="22" customHeight="1" outlineLevel="1" x14ac:dyDescent="0.2">
      <c r="B168" s="196" t="s">
        <v>143</v>
      </c>
      <c r="D168" s="495"/>
      <c r="E168" s="135">
        <v>0.19</v>
      </c>
      <c r="F168" s="135">
        <v>0.18</v>
      </c>
      <c r="G168" s="135">
        <v>0.15</v>
      </c>
      <c r="H168" s="135">
        <v>0.14000000000000001</v>
      </c>
      <c r="I168" s="135">
        <v>0.12</v>
      </c>
      <c r="J168" s="135">
        <v>0.11</v>
      </c>
      <c r="K168" s="199">
        <v>0.1</v>
      </c>
      <c r="L168" s="199">
        <v>0.08</v>
      </c>
      <c r="M168" s="199">
        <v>7.0000000000000007E-2</v>
      </c>
      <c r="N168" s="199">
        <v>0.06</v>
      </c>
      <c r="O168" s="200">
        <v>0.05</v>
      </c>
      <c r="P168" s="199"/>
    </row>
    <row r="169" spans="2:23" ht="22" customHeight="1" outlineLevel="1" x14ac:dyDescent="0.2">
      <c r="B169" s="196" t="s">
        <v>144</v>
      </c>
      <c r="D169" s="495">
        <v>100</v>
      </c>
      <c r="E169" s="495">
        <f t="shared" ref="E169:J169" si="126">D169*(1+E170)</f>
        <v>112.99999999999999</v>
      </c>
      <c r="F169" s="495">
        <f t="shared" si="126"/>
        <v>124.3</v>
      </c>
      <c r="G169" s="495">
        <f t="shared" si="126"/>
        <v>129.27199999999999</v>
      </c>
      <c r="H169" s="495">
        <f t="shared" si="126"/>
        <v>121.51567999999999</v>
      </c>
      <c r="I169" s="495">
        <f t="shared" si="126"/>
        <v>114.22473919999999</v>
      </c>
      <c r="J169" s="495">
        <f t="shared" si="126"/>
        <v>109.65574963199998</v>
      </c>
      <c r="K169" s="495">
        <f>J169*(1+K170)</f>
        <v>107.46263463935998</v>
      </c>
      <c r="L169" s="495">
        <f>K169*(1+L170)</f>
        <v>105.31338194657278</v>
      </c>
      <c r="M169" s="495">
        <f>L169*(1+M170)</f>
        <v>103.20711430764132</v>
      </c>
      <c r="N169" s="495">
        <f>M169*(1+N170)</f>
        <v>101.14297202148849</v>
      </c>
      <c r="O169" s="201">
        <f>N169*(1+O170)</f>
        <v>100.1315423012736</v>
      </c>
      <c r="P169" s="195"/>
    </row>
    <row r="170" spans="2:23" ht="22" customHeight="1" outlineLevel="1" x14ac:dyDescent="0.2">
      <c r="B170" s="196" t="s">
        <v>145</v>
      </c>
      <c r="D170" s="495"/>
      <c r="E170" s="135">
        <v>0.13</v>
      </c>
      <c r="F170" s="135">
        <v>0.1</v>
      </c>
      <c r="G170" s="135">
        <v>0.04</v>
      </c>
      <c r="H170" s="135">
        <v>-0.06</v>
      </c>
      <c r="I170" s="135">
        <v>-0.06</v>
      </c>
      <c r="J170" s="135">
        <v>-0.04</v>
      </c>
      <c r="K170" s="199">
        <v>-0.02</v>
      </c>
      <c r="L170" s="199">
        <v>-0.02</v>
      </c>
      <c r="M170" s="199">
        <v>-0.02</v>
      </c>
      <c r="N170" s="199">
        <v>-0.02</v>
      </c>
      <c r="O170" s="200">
        <v>-0.01</v>
      </c>
      <c r="P170" s="199"/>
    </row>
    <row r="171" spans="2:23" ht="22" customHeight="1" outlineLevel="1" x14ac:dyDescent="0.2">
      <c r="B171" s="202" t="s">
        <v>146</v>
      </c>
      <c r="D171" s="495">
        <v>18833</v>
      </c>
      <c r="E171" s="8">
        <f>D171*(E167/100)*(E169/100)</f>
        <v>25324.735099999998</v>
      </c>
      <c r="F171" s="8">
        <f>D171*(F167/100)*(F169/100)</f>
        <v>32871.506159799996</v>
      </c>
      <c r="G171" s="8">
        <f>D171*(G167/100)*(G169/100)</f>
        <v>39314.321367120792</v>
      </c>
      <c r="H171" s="8">
        <f>D171*(H167/100)*(H169/100)</f>
        <v>42129.226777006646</v>
      </c>
      <c r="I171" s="8">
        <f>D171*(I167/100)*(I169/100)</f>
        <v>44353.649950832594</v>
      </c>
      <c r="J171" s="8">
        <f t="shared" ref="J171:O171" si="127">D171*(J167/100)*(J169/100)</f>
        <v>47263.249387607211</v>
      </c>
      <c r="K171" s="8">
        <f t="shared" si="127"/>
        <v>68512.172984733625</v>
      </c>
      <c r="L171" s="8">
        <f t="shared" si="127"/>
        <v>94122.242485380601</v>
      </c>
      <c r="M171" s="8">
        <f t="shared" si="127"/>
        <v>118041.11383032343</v>
      </c>
      <c r="N171" s="8">
        <f t="shared" si="127"/>
        <v>131400.7804547009</v>
      </c>
      <c r="O171" s="179">
        <f t="shared" si="127"/>
        <v>143803.12195838612</v>
      </c>
      <c r="P171" s="10"/>
    </row>
    <row r="172" spans="2:23" ht="22" customHeight="1" outlineLevel="1" x14ac:dyDescent="0.2">
      <c r="B172" s="196" t="s">
        <v>147</v>
      </c>
      <c r="D172" s="495">
        <v>100</v>
      </c>
      <c r="E172" s="495">
        <f>D172*(1+E173)</f>
        <v>118</v>
      </c>
      <c r="F172" s="495">
        <f t="shared" ref="F172:J172" si="128">E172*(1+F173)</f>
        <v>140.41999999999999</v>
      </c>
      <c r="G172" s="495">
        <f t="shared" si="128"/>
        <v>162.88719999999998</v>
      </c>
      <c r="H172" s="495">
        <f t="shared" si="128"/>
        <v>185.691408</v>
      </c>
      <c r="I172" s="495">
        <f t="shared" si="128"/>
        <v>207.97437696</v>
      </c>
      <c r="J172" s="495">
        <f t="shared" si="128"/>
        <v>230.85155842560002</v>
      </c>
      <c r="K172" s="495">
        <f>J172*(1+K173)</f>
        <v>253.93671426816005</v>
      </c>
      <c r="L172" s="495">
        <f>K172*(1+L173)</f>
        <v>276.79101855229447</v>
      </c>
      <c r="M172" s="495">
        <f>L172*(1+M173)</f>
        <v>296.16638985095511</v>
      </c>
      <c r="N172" s="495">
        <f>M172*(1+N173)</f>
        <v>310.97470934350287</v>
      </c>
      <c r="O172" s="201">
        <f>N172*(1+O173)</f>
        <v>326.52344481067803</v>
      </c>
      <c r="P172" s="195"/>
    </row>
    <row r="173" spans="2:23" ht="22" customHeight="1" outlineLevel="1" x14ac:dyDescent="0.2">
      <c r="B173" s="196" t="s">
        <v>148</v>
      </c>
      <c r="D173" s="495"/>
      <c r="E173" s="135">
        <v>0.18</v>
      </c>
      <c r="F173" s="135">
        <v>0.19</v>
      </c>
      <c r="G173" s="135">
        <v>0.16</v>
      </c>
      <c r="H173" s="135">
        <v>0.14000000000000001</v>
      </c>
      <c r="I173" s="135">
        <v>0.12</v>
      </c>
      <c r="J173" s="135">
        <v>0.11</v>
      </c>
      <c r="K173" s="199">
        <v>0.1</v>
      </c>
      <c r="L173" s="199">
        <v>0.09</v>
      </c>
      <c r="M173" s="199">
        <v>7.0000000000000007E-2</v>
      </c>
      <c r="N173" s="199">
        <v>0.05</v>
      </c>
      <c r="O173" s="200">
        <v>0.05</v>
      </c>
      <c r="P173" s="199"/>
    </row>
    <row r="174" spans="2:23" ht="22" customHeight="1" outlineLevel="1" x14ac:dyDescent="0.2">
      <c r="B174" s="196" t="s">
        <v>149</v>
      </c>
      <c r="D174" s="495">
        <v>100</v>
      </c>
      <c r="E174" s="495">
        <f>D174*(1+E175)</f>
        <v>107</v>
      </c>
      <c r="F174" s="495">
        <f t="shared" ref="F174:J174" si="129">E174*(1+F175)</f>
        <v>115.56</v>
      </c>
      <c r="G174" s="495">
        <f t="shared" si="129"/>
        <v>119.02680000000001</v>
      </c>
      <c r="H174" s="495">
        <f t="shared" si="129"/>
        <v>108.31438800000001</v>
      </c>
      <c r="I174" s="495">
        <f t="shared" si="129"/>
        <v>101.81552472</v>
      </c>
      <c r="J174" s="495">
        <f t="shared" si="129"/>
        <v>96.724748483999988</v>
      </c>
      <c r="K174" s="495">
        <f>J174*(1+K175)</f>
        <v>92.855758544639983</v>
      </c>
      <c r="L174" s="495">
        <f>K174*(1+L175)</f>
        <v>90.070085788300787</v>
      </c>
      <c r="M174" s="495">
        <f>L174*(1+M175)</f>
        <v>88.268684072534768</v>
      </c>
      <c r="N174" s="495">
        <f>M174*(1+N175)</f>
        <v>86.503310391084071</v>
      </c>
      <c r="O174" s="201">
        <f>N174*(1+O175)</f>
        <v>84.773244183262392</v>
      </c>
      <c r="P174" s="195"/>
    </row>
    <row r="175" spans="2:23" ht="22" customHeight="1" outlineLevel="1" x14ac:dyDescent="0.2">
      <c r="B175" s="196" t="s">
        <v>150</v>
      </c>
      <c r="D175" s="495"/>
      <c r="E175" s="135">
        <v>7.0000000000000007E-2</v>
      </c>
      <c r="F175" s="135">
        <v>0.08</v>
      </c>
      <c r="G175" s="135">
        <v>0.03</v>
      </c>
      <c r="H175" s="135">
        <v>-0.09</v>
      </c>
      <c r="I175" s="135">
        <v>-0.06</v>
      </c>
      <c r="J175" s="135">
        <v>-0.05</v>
      </c>
      <c r="K175" s="199">
        <v>-0.04</v>
      </c>
      <c r="L175" s="199">
        <v>-0.03</v>
      </c>
      <c r="M175" s="199">
        <v>-0.02</v>
      </c>
      <c r="N175" s="199">
        <v>-0.02</v>
      </c>
      <c r="O175" s="200">
        <v>-0.02</v>
      </c>
      <c r="P175" s="199"/>
    </row>
    <row r="176" spans="2:23" ht="22" customHeight="1" outlineLevel="1" x14ac:dyDescent="0.2">
      <c r="B176" s="202" t="s">
        <v>151</v>
      </c>
      <c r="D176" s="495">
        <v>6027</v>
      </c>
      <c r="E176" s="495">
        <f>D176*(E172/100)*(E174/100)</f>
        <v>7609.6902</v>
      </c>
      <c r="F176" s="495">
        <f>D176*(F172/100)*(F174/100)</f>
        <v>9779.97384504</v>
      </c>
      <c r="G176" s="495">
        <f>D176*(G172/100)*(G174/100)</f>
        <v>11685.112750053793</v>
      </c>
      <c r="H176" s="495">
        <f>D176*(H172/100)*(H174/100)</f>
        <v>12122.135966905804</v>
      </c>
      <c r="I176" s="495">
        <f>D176*(I172/100)*(I174/100)</f>
        <v>12762.18474595843</v>
      </c>
      <c r="J176" s="495">
        <f t="shared" ref="J176:O176" si="130">D176*(J172/100)*(J174/100)</f>
        <v>13457.723814613166</v>
      </c>
      <c r="K176" s="495">
        <f t="shared" si="130"/>
        <v>17943.258525277095</v>
      </c>
      <c r="L176" s="495">
        <f t="shared" si="130"/>
        <v>24382.052583274239</v>
      </c>
      <c r="M176" s="495">
        <f t="shared" si="130"/>
        <v>30547.475900823767</v>
      </c>
      <c r="N176" s="495">
        <f t="shared" si="130"/>
        <v>32608.960093000504</v>
      </c>
      <c r="O176" s="201">
        <f t="shared" si="130"/>
        <v>35326.303868302348</v>
      </c>
      <c r="P176" s="195"/>
    </row>
    <row r="177" spans="2:27" ht="22" customHeight="1" outlineLevel="1" x14ac:dyDescent="0.2">
      <c r="B177" s="194" t="s">
        <v>152</v>
      </c>
      <c r="D177" s="495">
        <v>25111</v>
      </c>
      <c r="E177" s="195">
        <f>E171+E176</f>
        <v>32934.425299999995</v>
      </c>
      <c r="F177" s="195">
        <f t="shared" ref="F177:J177" si="131">F171+F176</f>
        <v>42651.480004839992</v>
      </c>
      <c r="G177" s="195">
        <f t="shared" si="131"/>
        <v>50999.434117174584</v>
      </c>
      <c r="H177" s="195">
        <f t="shared" si="131"/>
        <v>54251.362743912454</v>
      </c>
      <c r="I177" s="195">
        <f t="shared" si="131"/>
        <v>57115.834696791026</v>
      </c>
      <c r="J177" s="195">
        <f t="shared" si="131"/>
        <v>60720.973202220375</v>
      </c>
      <c r="K177" s="195">
        <f>K171+K176</f>
        <v>86455.43151001072</v>
      </c>
      <c r="L177" s="195">
        <f>L171+L176</f>
        <v>118504.29506865484</v>
      </c>
      <c r="M177" s="195">
        <f>M171+M176</f>
        <v>148588.58973114719</v>
      </c>
      <c r="N177" s="195">
        <f>N171+N176</f>
        <v>164009.7405477014</v>
      </c>
      <c r="O177" s="203">
        <f>O171+O176</f>
        <v>179129.42582668847</v>
      </c>
      <c r="P177" s="195"/>
      <c r="Q177" s="135"/>
      <c r="R177" s="135"/>
      <c r="S177" s="135"/>
      <c r="T177" s="135"/>
      <c r="U177" s="135"/>
      <c r="V177" s="135"/>
      <c r="W177" s="199"/>
      <c r="X177" s="199"/>
      <c r="Y177" s="199"/>
      <c r="Z177" s="199"/>
      <c r="AA177" s="200"/>
    </row>
    <row r="178" spans="2:27" ht="22" customHeight="1" outlineLevel="1" x14ac:dyDescent="0.2">
      <c r="B178" s="100" t="s">
        <v>153</v>
      </c>
      <c r="E178" s="135">
        <v>0.52</v>
      </c>
      <c r="F178" s="135">
        <v>0.53</v>
      </c>
      <c r="G178" s="135">
        <v>0.53</v>
      </c>
      <c r="H178" s="135">
        <v>0.5</v>
      </c>
      <c r="I178" s="135">
        <v>0.49</v>
      </c>
      <c r="J178" s="135">
        <v>0.46</v>
      </c>
      <c r="K178" s="199">
        <v>0.45</v>
      </c>
      <c r="L178" s="199">
        <v>0.45</v>
      </c>
      <c r="M178" s="199">
        <v>0.44</v>
      </c>
      <c r="N178" s="199">
        <v>0.45</v>
      </c>
      <c r="O178" s="200">
        <v>0.45</v>
      </c>
      <c r="P178" s="199"/>
      <c r="Q178" s="276"/>
      <c r="V178" s="250"/>
    </row>
    <row r="179" spans="2:27" ht="22" customHeight="1" outlineLevel="1" x14ac:dyDescent="0.2">
      <c r="B179" s="100" t="s">
        <v>154</v>
      </c>
      <c r="E179" s="2">
        <v>5000</v>
      </c>
      <c r="F179" s="2">
        <v>6000</v>
      </c>
      <c r="G179" s="2">
        <v>7000</v>
      </c>
      <c r="H179" s="2">
        <v>6500</v>
      </c>
      <c r="I179" s="2">
        <v>5000</v>
      </c>
      <c r="J179" s="2">
        <v>5000</v>
      </c>
      <c r="K179" s="2">
        <v>4000</v>
      </c>
      <c r="L179" s="2">
        <v>3000</v>
      </c>
      <c r="M179" s="2">
        <v>3000</v>
      </c>
      <c r="N179" s="2">
        <v>3000</v>
      </c>
      <c r="O179" s="204">
        <v>2500</v>
      </c>
    </row>
    <row r="180" spans="2:27" ht="22" customHeight="1" outlineLevel="1" x14ac:dyDescent="0.2">
      <c r="B180" s="100" t="s">
        <v>16</v>
      </c>
      <c r="E180" s="134">
        <v>4.2000000000000003E-2</v>
      </c>
      <c r="F180" s="134">
        <v>4.2000000000000003E-2</v>
      </c>
      <c r="G180" s="134">
        <v>4.1000000000000002E-2</v>
      </c>
      <c r="H180" s="134">
        <v>0.04</v>
      </c>
      <c r="I180" s="134">
        <v>0.04</v>
      </c>
      <c r="J180" s="134">
        <v>3.9E-2</v>
      </c>
      <c r="K180" s="205">
        <v>3.6999999999999998E-2</v>
      </c>
      <c r="L180" s="205">
        <v>3.5999999999999997E-2</v>
      </c>
      <c r="M180" s="205">
        <v>3.5000000000000003E-2</v>
      </c>
      <c r="N180" s="205">
        <v>3.4000000000000002E-2</v>
      </c>
      <c r="O180" s="206">
        <v>3.3000000000000002E-2</v>
      </c>
      <c r="P180" s="205"/>
    </row>
    <row r="181" spans="2:27" ht="22" customHeight="1" outlineLevel="1" x14ac:dyDescent="0.2">
      <c r="B181" s="100" t="s">
        <v>101</v>
      </c>
      <c r="D181" s="207"/>
      <c r="E181" s="198">
        <v>16000</v>
      </c>
      <c r="F181" s="198">
        <v>16000</v>
      </c>
      <c r="G181" s="198">
        <v>16000</v>
      </c>
      <c r="H181" s="198">
        <v>16000</v>
      </c>
      <c r="I181" s="198">
        <v>15000</v>
      </c>
      <c r="J181" s="198">
        <v>15000</v>
      </c>
      <c r="K181" s="198">
        <v>13000</v>
      </c>
      <c r="L181" s="198">
        <v>12000</v>
      </c>
      <c r="M181" s="198">
        <v>11000</v>
      </c>
      <c r="N181" s="198">
        <v>10000</v>
      </c>
      <c r="O181" s="208">
        <v>10000</v>
      </c>
      <c r="Q181" s="209"/>
    </row>
    <row r="182" spans="2:27" ht="22" customHeight="1" outlineLevel="1" x14ac:dyDescent="0.2">
      <c r="B182" s="100" t="s">
        <v>19</v>
      </c>
      <c r="E182" s="135">
        <v>0.21</v>
      </c>
      <c r="F182" s="135">
        <v>0.22</v>
      </c>
      <c r="G182" s="135">
        <v>0.22</v>
      </c>
      <c r="H182" s="135">
        <v>0.21</v>
      </c>
      <c r="I182" s="135">
        <v>0.2</v>
      </c>
      <c r="J182" s="135">
        <v>0.19</v>
      </c>
      <c r="K182" s="135">
        <v>0.18</v>
      </c>
      <c r="L182" s="135">
        <v>0.18</v>
      </c>
      <c r="M182" s="135">
        <v>0.18</v>
      </c>
      <c r="N182" s="135">
        <v>0.18</v>
      </c>
      <c r="O182" s="104">
        <v>0.18</v>
      </c>
      <c r="P182" s="102"/>
    </row>
    <row r="183" spans="2:27" ht="22" customHeight="1" outlineLevel="1" x14ac:dyDescent="0.2">
      <c r="B183" s="100" t="s">
        <v>90</v>
      </c>
      <c r="E183" s="16">
        <f t="shared" ref="E183:O183" si="132">E99</f>
        <v>146.5205</v>
      </c>
      <c r="F183" s="16">
        <f t="shared" si="132"/>
        <v>154.01907499999999</v>
      </c>
      <c r="G183" s="16">
        <f t="shared" si="132"/>
        <v>162.64243624999997</v>
      </c>
      <c r="H183" s="16">
        <f t="shared" si="132"/>
        <v>172.55930168749998</v>
      </c>
      <c r="I183" s="16">
        <f t="shared" si="132"/>
        <v>183.96369694062497</v>
      </c>
      <c r="J183" s="16">
        <f t="shared" si="132"/>
        <v>197.07875148171871</v>
      </c>
      <c r="K183" s="16">
        <f t="shared" si="132"/>
        <v>212.16106420397651</v>
      </c>
      <c r="L183" s="16">
        <f t="shared" si="132"/>
        <v>229.50572383457299</v>
      </c>
      <c r="M183" s="16">
        <f t="shared" si="132"/>
        <v>249.45208240975893</v>
      </c>
      <c r="N183" s="16">
        <f t="shared" si="132"/>
        <v>272.39039477122276</v>
      </c>
      <c r="O183" s="113">
        <f t="shared" si="132"/>
        <v>298.76945398690617</v>
      </c>
      <c r="P183" s="16"/>
    </row>
    <row r="184" spans="2:27" ht="22" customHeight="1" outlineLevel="1" x14ac:dyDescent="0.2">
      <c r="B184" s="100" t="s">
        <v>155</v>
      </c>
      <c r="D184" s="151"/>
      <c r="E184" s="134">
        <v>3.2000000000000001E-2</v>
      </c>
      <c r="F184" s="134">
        <v>0.03</v>
      </c>
      <c r="G184" s="134">
        <v>2.9000000000000001E-2</v>
      </c>
      <c r="H184" s="134">
        <v>2.9000000000000001E-2</v>
      </c>
      <c r="I184" s="134">
        <v>2.8000000000000001E-2</v>
      </c>
      <c r="J184" s="134">
        <v>2.8000000000000001E-2</v>
      </c>
      <c r="K184" s="205">
        <v>2.8000000000000001E-2</v>
      </c>
      <c r="L184" s="205">
        <v>2.7E-2</v>
      </c>
      <c r="M184" s="205">
        <v>2.7E-2</v>
      </c>
      <c r="N184" s="205">
        <v>2.7E-2</v>
      </c>
      <c r="O184" s="206">
        <v>2.7E-2</v>
      </c>
      <c r="P184" s="205"/>
    </row>
    <row r="185" spans="2:27" ht="22" customHeight="1" outlineLevel="1" x14ac:dyDescent="0.2">
      <c r="B185" s="100" t="s">
        <v>156</v>
      </c>
      <c r="E185" s="135">
        <v>0.03</v>
      </c>
      <c r="F185" s="135">
        <v>0.03</v>
      </c>
      <c r="G185" s="135">
        <v>0.03</v>
      </c>
      <c r="H185" s="135">
        <v>0.03</v>
      </c>
      <c r="I185" s="135">
        <v>0.03</v>
      </c>
      <c r="J185" s="135">
        <v>0.03</v>
      </c>
      <c r="K185" s="135">
        <v>0.03</v>
      </c>
      <c r="L185" s="135">
        <v>0.03</v>
      </c>
      <c r="M185" s="135">
        <v>0.03</v>
      </c>
      <c r="N185" s="135">
        <v>0.03</v>
      </c>
      <c r="O185" s="104">
        <v>0.03</v>
      </c>
      <c r="P185" s="102"/>
    </row>
    <row r="186" spans="2:27" ht="22" customHeight="1" outlineLevel="1" x14ac:dyDescent="0.2">
      <c r="B186" s="100" t="s">
        <v>157</v>
      </c>
      <c r="E186" s="135">
        <v>7.0000000000000007E-2</v>
      </c>
      <c r="F186" s="135">
        <v>7.0000000000000007E-2</v>
      </c>
      <c r="G186" s="135">
        <v>7.0000000000000007E-2</v>
      </c>
      <c r="H186" s="135">
        <v>7.0000000000000007E-2</v>
      </c>
      <c r="I186" s="135">
        <v>7.0000000000000007E-2</v>
      </c>
      <c r="J186" s="135">
        <v>7.0000000000000007E-2</v>
      </c>
      <c r="K186" s="135">
        <v>7.0000000000000007E-2</v>
      </c>
      <c r="L186" s="135">
        <v>7.0000000000000007E-2</v>
      </c>
      <c r="M186" s="135">
        <v>7.0000000000000007E-2</v>
      </c>
      <c r="N186" s="135">
        <v>7.0000000000000007E-2</v>
      </c>
      <c r="O186" s="104">
        <v>7.0000000000000007E-2</v>
      </c>
      <c r="P186" s="102"/>
    </row>
    <row r="187" spans="2:27" ht="22" customHeight="1" outlineLevel="1" x14ac:dyDescent="0.2">
      <c r="B187" s="100" t="s">
        <v>158</v>
      </c>
      <c r="E187" s="16">
        <f t="shared" ref="E187:J187" si="133">E159</f>
        <v>-300</v>
      </c>
      <c r="F187" s="16">
        <f t="shared" si="133"/>
        <v>-300</v>
      </c>
      <c r="G187" s="16">
        <f t="shared" si="133"/>
        <v>-300</v>
      </c>
      <c r="H187" s="16">
        <f t="shared" si="133"/>
        <v>-300</v>
      </c>
      <c r="I187" s="16">
        <f t="shared" si="133"/>
        <v>-300</v>
      </c>
      <c r="J187" s="16">
        <f t="shared" si="133"/>
        <v>-300</v>
      </c>
      <c r="K187" s="16">
        <f>K159</f>
        <v>-300</v>
      </c>
      <c r="L187" s="16">
        <f>L159</f>
        <v>-300</v>
      </c>
      <c r="M187" s="16">
        <f>M159</f>
        <v>-300</v>
      </c>
      <c r="N187" s="16">
        <f>N159</f>
        <v>-300</v>
      </c>
      <c r="O187" s="113">
        <f>O159</f>
        <v>-300</v>
      </c>
      <c r="P187" s="16"/>
    </row>
    <row r="188" spans="2:27" ht="22" customHeight="1" outlineLevel="1" x14ac:dyDescent="0.2">
      <c r="B188" s="100" t="s">
        <v>159</v>
      </c>
      <c r="E188" s="2">
        <v>0.46</v>
      </c>
      <c r="F188" s="2">
        <v>0.46</v>
      </c>
      <c r="G188" s="2">
        <v>0.46</v>
      </c>
      <c r="H188" s="2">
        <v>0.46</v>
      </c>
      <c r="I188" s="2">
        <v>0.46</v>
      </c>
      <c r="J188" s="2">
        <v>0.46</v>
      </c>
      <c r="K188" s="2">
        <v>0.46</v>
      </c>
      <c r="L188" s="2">
        <v>0.46</v>
      </c>
      <c r="M188" s="2">
        <v>0.46</v>
      </c>
      <c r="N188" s="2">
        <v>0.46</v>
      </c>
      <c r="O188" s="204">
        <v>0.46</v>
      </c>
    </row>
    <row r="189" spans="2:27" ht="22" customHeight="1" outlineLevel="1" x14ac:dyDescent="0.2">
      <c r="B189" s="100" t="s">
        <v>160</v>
      </c>
      <c r="E189" s="134">
        <f>D14/D3</f>
        <v>2.106646489586237E-2</v>
      </c>
      <c r="F189" s="134">
        <f>E189</f>
        <v>2.106646489586237E-2</v>
      </c>
      <c r="G189" s="134">
        <f>F189</f>
        <v>2.106646489586237E-2</v>
      </c>
      <c r="H189" s="134">
        <f>G189</f>
        <v>2.106646489586237E-2</v>
      </c>
      <c r="I189" s="134">
        <f>H189</f>
        <v>2.106646489586237E-2</v>
      </c>
      <c r="J189" s="134">
        <f t="shared" ref="J189:O189" si="134">I189</f>
        <v>2.106646489586237E-2</v>
      </c>
      <c r="K189" s="134">
        <f>J189</f>
        <v>2.106646489586237E-2</v>
      </c>
      <c r="L189" s="134">
        <f t="shared" si="134"/>
        <v>2.106646489586237E-2</v>
      </c>
      <c r="M189" s="134">
        <f t="shared" si="134"/>
        <v>2.106646489586237E-2</v>
      </c>
      <c r="N189" s="134">
        <f t="shared" si="134"/>
        <v>2.106646489586237E-2</v>
      </c>
      <c r="O189" s="210">
        <f t="shared" si="134"/>
        <v>2.106646489586237E-2</v>
      </c>
      <c r="P189" s="118"/>
    </row>
    <row r="190" spans="2:27" ht="22" customHeight="1" outlineLevel="1" x14ac:dyDescent="0.2">
      <c r="B190" s="172" t="s">
        <v>349</v>
      </c>
      <c r="C190" s="211"/>
      <c r="D190" s="211"/>
      <c r="E190" s="451">
        <f>0.2*E3</f>
        <v>6586.8850599999996</v>
      </c>
      <c r="F190" s="451">
        <f t="shared" ref="F190:O190" si="135">0.2*F3</f>
        <v>8530.2960009679991</v>
      </c>
      <c r="G190" s="451">
        <f t="shared" si="135"/>
        <v>10199.886823434917</v>
      </c>
      <c r="H190" s="451">
        <f t="shared" si="135"/>
        <v>10850.272548782492</v>
      </c>
      <c r="I190" s="451">
        <f t="shared" si="135"/>
        <v>11423.166939358205</v>
      </c>
      <c r="J190" s="451">
        <f t="shared" si="135"/>
        <v>12144.194640444075</v>
      </c>
      <c r="K190" s="451">
        <f t="shared" si="135"/>
        <v>17291.086302002146</v>
      </c>
      <c r="L190" s="451">
        <f t="shared" si="135"/>
        <v>23700.859013730969</v>
      </c>
      <c r="M190" s="451">
        <f t="shared" si="135"/>
        <v>29717.717946229441</v>
      </c>
      <c r="N190" s="451">
        <f t="shared" si="135"/>
        <v>32801.948109540281</v>
      </c>
      <c r="O190" s="496">
        <f t="shared" si="135"/>
        <v>35825.885165337699</v>
      </c>
      <c r="P190" s="212"/>
    </row>
    <row r="191" spans="2:27" ht="22" customHeight="1" thickBot="1" x14ac:dyDescent="0.25">
      <c r="E191" s="250"/>
      <c r="F191" s="250"/>
      <c r="G191" s="250"/>
      <c r="H191" s="250"/>
      <c r="I191" s="250"/>
    </row>
    <row r="192" spans="2:27" ht="22" customHeight="1" x14ac:dyDescent="0.2">
      <c r="B192" s="3" t="s">
        <v>161</v>
      </c>
      <c r="C192" s="4" t="s">
        <v>162</v>
      </c>
      <c r="D192" s="4" t="s">
        <v>163</v>
      </c>
      <c r="E192" s="4" t="s">
        <v>164</v>
      </c>
      <c r="F192" s="4" t="s">
        <v>165</v>
      </c>
      <c r="G192" s="4" t="s">
        <v>166</v>
      </c>
      <c r="H192" s="4" t="s">
        <v>167</v>
      </c>
      <c r="I192" s="4" t="s">
        <v>168</v>
      </c>
      <c r="J192" s="4" t="s">
        <v>169</v>
      </c>
      <c r="K192" s="4" t="s">
        <v>8</v>
      </c>
      <c r="L192" s="4" t="s">
        <v>9</v>
      </c>
      <c r="M192" s="4" t="s">
        <v>10</v>
      </c>
      <c r="N192" s="4" t="s">
        <v>11</v>
      </c>
      <c r="O192" s="5" t="s">
        <v>12</v>
      </c>
      <c r="P192" s="6"/>
    </row>
    <row r="193" spans="2:16" ht="22" customHeight="1" x14ac:dyDescent="0.2">
      <c r="B193" s="511" t="s">
        <v>170</v>
      </c>
      <c r="C193" s="512"/>
      <c r="D193" s="512"/>
      <c r="E193" s="512"/>
      <c r="F193" s="512"/>
      <c r="G193" s="512"/>
      <c r="H193" s="512"/>
      <c r="I193" s="512"/>
      <c r="J193" s="512"/>
      <c r="K193" s="512"/>
      <c r="L193" s="512"/>
      <c r="M193" s="512"/>
      <c r="N193" s="512"/>
      <c r="O193" s="513"/>
    </row>
    <row r="194" spans="2:16" ht="22" customHeight="1" x14ac:dyDescent="0.2">
      <c r="B194" s="25" t="s">
        <v>171</v>
      </c>
      <c r="C194" s="514"/>
      <c r="D194" s="515"/>
      <c r="E194" s="515">
        <f t="shared" ref="E194:O194" si="136">E12</f>
        <v>10742.655293399999</v>
      </c>
      <c r="F194" s="515">
        <f t="shared" si="136"/>
        <v>14813.922242361918</v>
      </c>
      <c r="G194" s="515">
        <f t="shared" si="136"/>
        <v>17938.723283298375</v>
      </c>
      <c r="H194" s="515">
        <f t="shared" si="136"/>
        <v>18455.62686219973</v>
      </c>
      <c r="I194" s="515">
        <f t="shared" si="136"/>
        <v>20702.125613555963</v>
      </c>
      <c r="J194" s="515">
        <f t="shared" si="136"/>
        <v>20563.529718134774</v>
      </c>
      <c r="K194" s="515">
        <f t="shared" si="136"/>
        <v>31706.093213634424</v>
      </c>
      <c r="L194" s="515">
        <f t="shared" si="136"/>
        <v>46060.778158423105</v>
      </c>
      <c r="M194" s="515">
        <f t="shared" si="136"/>
        <v>57178.378841114602</v>
      </c>
      <c r="N194" s="515">
        <f t="shared" si="136"/>
        <v>65228.052067843768</v>
      </c>
      <c r="O194" s="516">
        <f t="shared" si="136"/>
        <v>72196.970569729092</v>
      </c>
      <c r="P194" s="214"/>
    </row>
    <row r="195" spans="2:16" ht="22" customHeight="1" x14ac:dyDescent="0.35">
      <c r="B195" s="25" t="s">
        <v>24</v>
      </c>
      <c r="C195" s="514"/>
      <c r="D195" s="517"/>
      <c r="E195" s="517">
        <f t="shared" ref="E195:O195" si="137">-0.21*MAX(E194,0)</f>
        <v>-2255.9576116139997</v>
      </c>
      <c r="F195" s="517">
        <f t="shared" si="137"/>
        <v>-3110.9236708960025</v>
      </c>
      <c r="G195" s="517">
        <f t="shared" si="137"/>
        <v>-3767.1318894926585</v>
      </c>
      <c r="H195" s="517">
        <f t="shared" si="137"/>
        <v>-3875.6816410619431</v>
      </c>
      <c r="I195" s="517">
        <f t="shared" si="137"/>
        <v>-4347.4463788467519</v>
      </c>
      <c r="J195" s="517">
        <f t="shared" si="137"/>
        <v>-4318.3412408083022</v>
      </c>
      <c r="K195" s="517">
        <f t="shared" si="137"/>
        <v>-6658.2795748632288</v>
      </c>
      <c r="L195" s="517">
        <f t="shared" si="137"/>
        <v>-9672.7634132688509</v>
      </c>
      <c r="M195" s="517">
        <f t="shared" si="137"/>
        <v>-12007.459556634067</v>
      </c>
      <c r="N195" s="517">
        <f t="shared" si="137"/>
        <v>-13697.890934247191</v>
      </c>
      <c r="O195" s="518">
        <f t="shared" si="137"/>
        <v>-15161.363819643109</v>
      </c>
      <c r="P195" s="215"/>
    </row>
    <row r="196" spans="2:16" ht="22" customHeight="1" x14ac:dyDescent="0.2">
      <c r="B196" s="25" t="s">
        <v>172</v>
      </c>
      <c r="C196" s="514"/>
      <c r="D196" s="515"/>
      <c r="E196" s="515">
        <f>SUM(E194:E195)</f>
        <v>8486.6976817859995</v>
      </c>
      <c r="F196" s="515">
        <f t="shared" ref="F196:O196" si="138">SUM(F194:F195)</f>
        <v>11702.998571465916</v>
      </c>
      <c r="G196" s="515">
        <f t="shared" si="138"/>
        <v>14171.591393805717</v>
      </c>
      <c r="H196" s="515">
        <f t="shared" si="138"/>
        <v>14579.945221137787</v>
      </c>
      <c r="I196" s="515">
        <f t="shared" si="138"/>
        <v>16354.679234709212</v>
      </c>
      <c r="J196" s="515">
        <f t="shared" si="138"/>
        <v>16245.188477326472</v>
      </c>
      <c r="K196" s="515">
        <f t="shared" si="138"/>
        <v>25047.813638771193</v>
      </c>
      <c r="L196" s="515">
        <f t="shared" si="138"/>
        <v>36388.014745154258</v>
      </c>
      <c r="M196" s="515">
        <f t="shared" si="138"/>
        <v>45170.919284480537</v>
      </c>
      <c r="N196" s="515">
        <f t="shared" si="138"/>
        <v>51530.161133596579</v>
      </c>
      <c r="O196" s="516">
        <f t="shared" si="138"/>
        <v>57035.606750085979</v>
      </c>
      <c r="P196" s="214"/>
    </row>
    <row r="197" spans="2:16" ht="22" customHeight="1" x14ac:dyDescent="0.2">
      <c r="B197" s="25" t="s">
        <v>173</v>
      </c>
      <c r="C197" s="514"/>
      <c r="D197" s="515"/>
      <c r="E197" s="515">
        <f t="shared" ref="E197:O197" si="139">E49+E96</f>
        <v>8512.2564999999995</v>
      </c>
      <c r="F197" s="515">
        <f t="shared" si="139"/>
        <v>10603.764336</v>
      </c>
      <c r="G197" s="515">
        <f t="shared" si="139"/>
        <v>11291.993059873999</v>
      </c>
      <c r="H197" s="515">
        <f t="shared" si="139"/>
        <v>11325.981202463214</v>
      </c>
      <c r="I197" s="515">
        <f t="shared" si="139"/>
        <v>11906.891235998131</v>
      </c>
      <c r="J197" s="515">
        <f t="shared" si="139"/>
        <v>12099.812884768622</v>
      </c>
      <c r="K197" s="515">
        <f t="shared" si="139"/>
        <v>12182.463001193093</v>
      </c>
      <c r="L197" s="515">
        <f t="shared" si="139"/>
        <v>12519.096868654262</v>
      </c>
      <c r="M197" s="515">
        <f t="shared" si="139"/>
        <v>12620.067117113485</v>
      </c>
      <c r="N197" s="515">
        <f t="shared" si="139"/>
        <v>12547.541150214132</v>
      </c>
      <c r="O197" s="516">
        <f t="shared" si="139"/>
        <v>12315.703960900564</v>
      </c>
      <c r="P197" s="214"/>
    </row>
    <row r="198" spans="2:16" ht="22" customHeight="1" x14ac:dyDescent="0.2">
      <c r="B198" s="25" t="s">
        <v>174</v>
      </c>
      <c r="C198" s="514"/>
      <c r="D198" s="514"/>
      <c r="E198" s="515">
        <f t="shared" ref="E198:O198" si="140">-(E118+E97)</f>
        <v>-16062.1</v>
      </c>
      <c r="F198" s="515">
        <f t="shared" si="140"/>
        <v>-16071.415000000001</v>
      </c>
      <c r="G198" s="515">
        <f t="shared" si="140"/>
        <v>-16082.12725</v>
      </c>
      <c r="H198" s="515">
        <f t="shared" si="140"/>
        <v>-16094.4463375</v>
      </c>
      <c r="I198" s="515">
        <f t="shared" si="140"/>
        <v>-15108.613288125</v>
      </c>
      <c r="J198" s="515">
        <f t="shared" si="140"/>
        <v>-15124.90528134375</v>
      </c>
      <c r="K198" s="515">
        <f t="shared" si="140"/>
        <v>-13143.641073545312</v>
      </c>
      <c r="L198" s="515">
        <f t="shared" si="140"/>
        <v>-12165.18723457711</v>
      </c>
      <c r="M198" s="515">
        <f t="shared" si="140"/>
        <v>-11189.965319763676</v>
      </c>
      <c r="N198" s="515">
        <f t="shared" si="140"/>
        <v>-10218.460117728227</v>
      </c>
      <c r="O198" s="516">
        <f t="shared" si="140"/>
        <v>-10251.229135387461</v>
      </c>
      <c r="P198" s="214"/>
    </row>
    <row r="199" spans="2:16" ht="22" customHeight="1" x14ac:dyDescent="0.35">
      <c r="B199" s="25" t="s">
        <v>175</v>
      </c>
      <c r="C199" s="514"/>
      <c r="D199" s="514"/>
      <c r="E199" s="517">
        <f t="shared" ref="E199:O199" si="141">-E80</f>
        <v>-547.7362750246557</v>
      </c>
      <c r="F199" s="517">
        <f t="shared" si="141"/>
        <v>-1626.7780339196179</v>
      </c>
      <c r="G199" s="517">
        <f t="shared" si="141"/>
        <v>-1246.6673908801677</v>
      </c>
      <c r="H199" s="517">
        <f t="shared" si="141"/>
        <v>20.991592838423458</v>
      </c>
      <c r="I199" s="517">
        <f t="shared" si="141"/>
        <v>-206.32563057819243</v>
      </c>
      <c r="J199" s="517">
        <f t="shared" si="141"/>
        <v>23.110530458860012</v>
      </c>
      <c r="K199" s="517">
        <f t="shared" si="141"/>
        <v>-4437.7659120752996</v>
      </c>
      <c r="L199" s="517">
        <f t="shared" si="141"/>
        <v>-4191.4109317460134</v>
      </c>
      <c r="M199" s="517">
        <f t="shared" si="141"/>
        <v>-2931.3569768508969</v>
      </c>
      <c r="N199" s="517">
        <f t="shared" si="141"/>
        <v>-1949.2066868914117</v>
      </c>
      <c r="O199" s="518">
        <f t="shared" si="141"/>
        <v>-261.21162097488559</v>
      </c>
      <c r="P199" s="215"/>
    </row>
    <row r="200" spans="2:16" ht="22" customHeight="1" x14ac:dyDescent="0.2">
      <c r="B200" s="53" t="s">
        <v>350</v>
      </c>
      <c r="C200" s="519"/>
      <c r="D200" s="519"/>
      <c r="E200" s="520">
        <f>SUM(E196:E199)</f>
        <v>389.11790676134478</v>
      </c>
      <c r="F200" s="520">
        <f t="shared" ref="F200:O200" si="142">SUM(F196:F199)</f>
        <v>4608.5698735462975</v>
      </c>
      <c r="G200" s="520">
        <f t="shared" si="142"/>
        <v>8134.7898127995486</v>
      </c>
      <c r="H200" s="520">
        <f>SUM(H196:H199)</f>
        <v>9832.4716789394224</v>
      </c>
      <c r="I200" s="520">
        <f t="shared" si="142"/>
        <v>12946.631552004153</v>
      </c>
      <c r="J200" s="520">
        <f t="shared" si="142"/>
        <v>13243.206611210202</v>
      </c>
      <c r="K200" s="520">
        <f t="shared" si="142"/>
        <v>19648.869654343674</v>
      </c>
      <c r="L200" s="520">
        <f t="shared" si="142"/>
        <v>32550.513447485395</v>
      </c>
      <c r="M200" s="520">
        <f t="shared" si="142"/>
        <v>43669.664104979449</v>
      </c>
      <c r="N200" s="520">
        <f t="shared" si="142"/>
        <v>51910.035479191065</v>
      </c>
      <c r="O200" s="521">
        <f t="shared" si="142"/>
        <v>58838.869954624191</v>
      </c>
      <c r="P200" s="216"/>
    </row>
    <row r="201" spans="2:16" ht="22" customHeight="1" x14ac:dyDescent="0.2">
      <c r="B201" s="522" t="s">
        <v>176</v>
      </c>
      <c r="C201" s="519" t="s">
        <v>177</v>
      </c>
      <c r="D201" s="523">
        <f>E209</f>
        <v>0.12296260896617207</v>
      </c>
      <c r="E201" s="151">
        <f>(1-D201)^1</f>
        <v>0.87703739103382794</v>
      </c>
      <c r="F201" s="151">
        <f>(1-D201)^2</f>
        <v>0.76919458527142359</v>
      </c>
      <c r="G201" s="151">
        <f>(1-D201)^3</f>
        <v>0.67461241226379665</v>
      </c>
      <c r="H201" s="151">
        <f>(1-D201)^4</f>
        <v>0.59166031001087738</v>
      </c>
      <c r="I201" s="151">
        <f>(1-D201)^5</f>
        <v>0.51890821467020576</v>
      </c>
      <c r="J201" s="151">
        <f>(1-D201)^6</f>
        <v>0.45510190678037876</v>
      </c>
      <c r="K201" s="151">
        <f>(1-D201)^7</f>
        <v>0.39914138897718376</v>
      </c>
      <c r="L201" s="151">
        <f>(1-D201)^8</f>
        <v>0.35006192244216755</v>
      </c>
      <c r="M201" s="151">
        <f>(1-D201)^9</f>
        <v>0.30701739515896487</v>
      </c>
      <c r="N201" s="151">
        <f>(1-D201)^10</f>
        <v>0.26926573525222031</v>
      </c>
      <c r="O201" s="227">
        <f>(1-D201)^11</f>
        <v>0.23615611794041275</v>
      </c>
      <c r="P201" s="153"/>
    </row>
    <row r="202" spans="2:16" ht="22" customHeight="1" x14ac:dyDescent="0.2">
      <c r="B202" s="25"/>
      <c r="C202" s="514"/>
      <c r="D202" s="514"/>
      <c r="E202" s="515">
        <f>E200*E201</f>
        <v>341.27095375051414</v>
      </c>
      <c r="F202" s="515">
        <f t="shared" ref="F202:O202" si="143">F200*F201</f>
        <v>3544.8869925768213</v>
      </c>
      <c r="G202" s="515">
        <f t="shared" si="143"/>
        <v>5487.8301788716626</v>
      </c>
      <c r="H202" s="515">
        <f t="shared" si="143"/>
        <v>5817.4832417344705</v>
      </c>
      <c r="I202" s="515">
        <f t="shared" si="143"/>
        <v>6718.1134646434302</v>
      </c>
      <c r="J202" s="515">
        <f t="shared" si="143"/>
        <v>6027.0085806482812</v>
      </c>
      <c r="K202" s="515">
        <f>K200*K201</f>
        <v>7842.6771256663706</v>
      </c>
      <c r="L202" s="515">
        <f t="shared" si="143"/>
        <v>11394.695313906364</v>
      </c>
      <c r="M202" s="515">
        <f t="shared" si="143"/>
        <v>13407.346520977739</v>
      </c>
      <c r="N202" s="515">
        <f t="shared" si="143"/>
        <v>13977.593870273224</v>
      </c>
      <c r="O202" s="516">
        <f t="shared" si="143"/>
        <v>13895.159112484838</v>
      </c>
      <c r="P202" s="214"/>
    </row>
    <row r="203" spans="2:16" ht="22" customHeight="1" thickBot="1" x14ac:dyDescent="0.25">
      <c r="B203" s="45"/>
      <c r="C203" s="235"/>
      <c r="D203" s="235"/>
      <c r="E203" s="235"/>
      <c r="F203" s="235"/>
      <c r="G203" s="235"/>
      <c r="H203" s="235"/>
      <c r="I203" s="525" t="s">
        <v>178</v>
      </c>
      <c r="J203" s="524">
        <f>SUM(E202:O202)</f>
        <v>88454.065355533705</v>
      </c>
      <c r="K203" s="235"/>
      <c r="L203" s="235"/>
      <c r="M203" s="235"/>
      <c r="N203" s="235"/>
      <c r="O203" s="243"/>
    </row>
    <row r="204" spans="2:16" ht="22" customHeight="1" thickBot="1" x14ac:dyDescent="0.25"/>
    <row r="205" spans="2:16" ht="22" customHeight="1" thickBot="1" x14ac:dyDescent="0.25">
      <c r="B205" s="3" t="s">
        <v>179</v>
      </c>
      <c r="C205" s="217"/>
      <c r="D205" s="217"/>
      <c r="E205" s="218"/>
      <c r="F205" s="217"/>
      <c r="G205" s="217"/>
      <c r="H205" s="217"/>
      <c r="I205" s="217"/>
      <c r="J205" s="218"/>
    </row>
    <row r="206" spans="2:16" ht="22" customHeight="1" x14ac:dyDescent="0.2">
      <c r="B206" s="25"/>
      <c r="C206" s="526" t="s">
        <v>180</v>
      </c>
      <c r="D206" s="526" t="s">
        <v>181</v>
      </c>
      <c r="E206" s="527" t="s">
        <v>182</v>
      </c>
      <c r="G206" s="220" t="s">
        <v>183</v>
      </c>
      <c r="H206" s="221"/>
      <c r="I206" s="221"/>
      <c r="J206" s="222"/>
    </row>
    <row r="207" spans="2:16" ht="22" customHeight="1" x14ac:dyDescent="0.2">
      <c r="B207" s="528" t="s">
        <v>184</v>
      </c>
      <c r="C207" s="223">
        <f>E218</f>
        <v>14136</v>
      </c>
      <c r="D207" s="151">
        <f>C207/C209</f>
        <v>7.2639982915010254E-2</v>
      </c>
      <c r="E207" s="224">
        <f>E219</f>
        <v>3.2633326259196377E-2</v>
      </c>
      <c r="G207" s="25" t="s">
        <v>185</v>
      </c>
      <c r="J207" s="225">
        <f>J223</f>
        <v>24.30137980572411</v>
      </c>
    </row>
    <row r="208" spans="2:16" ht="22" customHeight="1" x14ac:dyDescent="0.2">
      <c r="B208" s="528" t="s">
        <v>186</v>
      </c>
      <c r="C208" s="223">
        <f>J218</f>
        <v>180467.56999999998</v>
      </c>
      <c r="D208" s="151">
        <f>C208/C209</f>
        <v>0.92736001708498972</v>
      </c>
      <c r="E208" s="224">
        <f>E228</f>
        <v>0.13003808928845828</v>
      </c>
      <c r="G208" s="25" t="s">
        <v>187</v>
      </c>
      <c r="J208" s="15">
        <f>J207*O10</f>
        <v>2046597.2546086612</v>
      </c>
    </row>
    <row r="209" spans="2:10" ht="22" customHeight="1" x14ac:dyDescent="0.2">
      <c r="B209" s="452" t="s">
        <v>188</v>
      </c>
      <c r="C209" s="226">
        <f>SUM(C207:C208)</f>
        <v>194603.56999999998</v>
      </c>
      <c r="D209" s="207">
        <f>SUM(D207:D208)</f>
        <v>1</v>
      </c>
      <c r="E209" s="227">
        <f>D207*E207+D208*E208</f>
        <v>0.12296260896617207</v>
      </c>
      <c r="G209" s="25" t="s">
        <v>189</v>
      </c>
      <c r="J209" s="228">
        <f>J208*O201</f>
        <v>483316.4626358879</v>
      </c>
    </row>
    <row r="210" spans="2:10" ht="22" customHeight="1" x14ac:dyDescent="0.2">
      <c r="B210" s="229" t="s">
        <v>190</v>
      </c>
      <c r="C210" s="230"/>
      <c r="D210" s="230"/>
      <c r="E210" s="231"/>
      <c r="G210" s="229" t="s">
        <v>191</v>
      </c>
      <c r="H210" s="230"/>
      <c r="I210" s="230"/>
      <c r="J210" s="231"/>
    </row>
    <row r="211" spans="2:10" ht="22" customHeight="1" x14ac:dyDescent="0.2">
      <c r="B211" s="25" t="s">
        <v>192</v>
      </c>
      <c r="E211" s="15">
        <f>562</f>
        <v>562</v>
      </c>
      <c r="G211" s="25" t="s">
        <v>193</v>
      </c>
      <c r="J211" s="228">
        <f>O200</f>
        <v>58838.869954624191</v>
      </c>
    </row>
    <row r="212" spans="2:10" ht="22" customHeight="1" x14ac:dyDescent="0.2">
      <c r="B212" s="25" t="s">
        <v>194</v>
      </c>
      <c r="E212" s="15">
        <f>D147</f>
        <v>13491</v>
      </c>
      <c r="G212" s="25" t="s">
        <v>195</v>
      </c>
      <c r="J212" s="232">
        <f>E247</f>
        <v>2.75E-2</v>
      </c>
    </row>
    <row r="213" spans="2:10" ht="22" customHeight="1" x14ac:dyDescent="0.2">
      <c r="B213" s="25" t="s">
        <v>196</v>
      </c>
      <c r="E213" s="227">
        <f>E211/E212</f>
        <v>4.1657401230449927E-2</v>
      </c>
      <c r="G213" s="25" t="s">
        <v>197</v>
      </c>
      <c r="J213" s="228">
        <f>J211*(1+J212)/(D201-J212)</f>
        <v>633304.90893874224</v>
      </c>
    </row>
    <row r="214" spans="2:10" ht="22" customHeight="1" x14ac:dyDescent="0.2">
      <c r="B214" s="25" t="s">
        <v>198</v>
      </c>
      <c r="E214" s="227">
        <f>E213*0.79</f>
        <v>3.2909346972055442E-2</v>
      </c>
      <c r="G214" s="25" t="s">
        <v>189</v>
      </c>
      <c r="J214" s="228">
        <f>J213*O201</f>
        <v>149558.82876757998</v>
      </c>
    </row>
    <row r="215" spans="2:10" ht="22" customHeight="1" x14ac:dyDescent="0.2">
      <c r="B215" s="25" t="s">
        <v>199</v>
      </c>
      <c r="E215" s="15">
        <f>D98</f>
        <v>645</v>
      </c>
      <c r="G215" s="229" t="s">
        <v>200</v>
      </c>
      <c r="H215" s="230"/>
      <c r="I215" s="230"/>
      <c r="J215" s="231"/>
    </row>
    <row r="216" spans="2:10" ht="22" customHeight="1" x14ac:dyDescent="0.2">
      <c r="B216" s="25" t="s">
        <v>201</v>
      </c>
      <c r="E216" s="232">
        <f>E109</f>
        <v>3.4000000000000002E-2</v>
      </c>
      <c r="G216" s="25" t="s">
        <v>202</v>
      </c>
      <c r="J216" s="233">
        <f>E242</f>
        <v>1109</v>
      </c>
    </row>
    <row r="217" spans="2:10" ht="22" customHeight="1" x14ac:dyDescent="0.2">
      <c r="B217" s="25" t="s">
        <v>203</v>
      </c>
      <c r="E217" s="227">
        <f>E216*0.79</f>
        <v>2.6860000000000002E-2</v>
      </c>
      <c r="G217" s="25" t="s">
        <v>204</v>
      </c>
      <c r="J217" s="234">
        <f>162.73</f>
        <v>162.72999999999999</v>
      </c>
    </row>
    <row r="218" spans="2:10" ht="22" customHeight="1" thickBot="1" x14ac:dyDescent="0.25">
      <c r="B218" s="25" t="s">
        <v>42</v>
      </c>
      <c r="E218" s="228">
        <f>E215+E212</f>
        <v>14136</v>
      </c>
      <c r="G218" s="45" t="s">
        <v>200</v>
      </c>
      <c r="H218" s="235"/>
      <c r="I218" s="235"/>
      <c r="J218" s="236">
        <f>J216*J217</f>
        <v>180467.56999999998</v>
      </c>
    </row>
    <row r="219" spans="2:10" ht="22" customHeight="1" x14ac:dyDescent="0.2">
      <c r="B219" s="25" t="s">
        <v>205</v>
      </c>
      <c r="E219" s="227">
        <f>E214*E212/E218+E215*E217/E218</f>
        <v>3.2633326259196377E-2</v>
      </c>
      <c r="H219" s="220" t="s">
        <v>206</v>
      </c>
      <c r="I219" s="237" t="s">
        <v>181</v>
      </c>
      <c r="J219" s="238" t="s">
        <v>207</v>
      </c>
    </row>
    <row r="220" spans="2:10" ht="22" customHeight="1" x14ac:dyDescent="0.2">
      <c r="B220" s="229" t="s">
        <v>208</v>
      </c>
      <c r="C220" s="230"/>
      <c r="D220" s="230"/>
      <c r="E220" s="231"/>
      <c r="H220" s="25" t="s">
        <v>209</v>
      </c>
      <c r="I220" s="1">
        <v>0.1</v>
      </c>
      <c r="J220" s="239">
        <f>J230</f>
        <v>49.448221757322173</v>
      </c>
    </row>
    <row r="221" spans="2:10" ht="22" customHeight="1" x14ac:dyDescent="0.2">
      <c r="B221" s="25" t="s">
        <v>210</v>
      </c>
      <c r="E221" s="228">
        <f>J218</f>
        <v>180467.56999999998</v>
      </c>
      <c r="H221" s="25" t="s">
        <v>211</v>
      </c>
      <c r="I221" s="1">
        <v>0.1</v>
      </c>
      <c r="J221" s="239">
        <f>J231</f>
        <v>70.902572924457743</v>
      </c>
    </row>
    <row r="222" spans="2:10" ht="22" customHeight="1" x14ac:dyDescent="0.2">
      <c r="B222" s="25" t="s">
        <v>212</v>
      </c>
      <c r="E222" s="232">
        <f>E243</f>
        <v>3.5000000000000003E-2</v>
      </c>
      <c r="H222" s="25" t="s">
        <v>213</v>
      </c>
      <c r="I222" s="1">
        <v>0.8</v>
      </c>
      <c r="J222" s="239">
        <f>J232</f>
        <v>15.332875421932648</v>
      </c>
    </row>
    <row r="223" spans="2:10" ht="22" customHeight="1" thickBot="1" x14ac:dyDescent="0.25">
      <c r="B223" s="25" t="s">
        <v>214</v>
      </c>
      <c r="E223" s="232">
        <f>E244</f>
        <v>8.5000000000000006E-2</v>
      </c>
      <c r="H223" s="45" t="s">
        <v>215</v>
      </c>
      <c r="I223" s="235"/>
      <c r="J223" s="240">
        <f>I220*J220+I221*J221+I222*J222</f>
        <v>24.30137980572411</v>
      </c>
    </row>
    <row r="224" spans="2:10" ht="22" customHeight="1" x14ac:dyDescent="0.2">
      <c r="B224" s="25" t="s">
        <v>216</v>
      </c>
      <c r="E224" s="224">
        <f>E223-E222</f>
        <v>0.05</v>
      </c>
      <c r="J224" s="219"/>
    </row>
    <row r="225" spans="2:12" ht="22" customHeight="1" x14ac:dyDescent="0.2">
      <c r="B225" s="25" t="s">
        <v>217</v>
      </c>
      <c r="E225" s="241">
        <f>E245</f>
        <v>1.9567617857691653</v>
      </c>
      <c r="J225" s="219"/>
    </row>
    <row r="226" spans="2:12" ht="22" customHeight="1" x14ac:dyDescent="0.2">
      <c r="B226" s="25" t="s">
        <v>218</v>
      </c>
      <c r="E226" s="224">
        <f>E222+E224*E225</f>
        <v>0.13283808928845828</v>
      </c>
      <c r="J226" s="219"/>
    </row>
    <row r="227" spans="2:12" ht="22" customHeight="1" x14ac:dyDescent="0.2">
      <c r="B227" s="25" t="s">
        <v>219</v>
      </c>
      <c r="E227" s="232">
        <f>E246</f>
        <v>-2.8E-3</v>
      </c>
      <c r="J227" s="219"/>
    </row>
    <row r="228" spans="2:12" ht="22" customHeight="1" thickBot="1" x14ac:dyDescent="0.25">
      <c r="B228" s="45" t="s">
        <v>220</v>
      </c>
      <c r="C228" s="235"/>
      <c r="D228" s="235"/>
      <c r="E228" s="242">
        <f>SUM(E226:E227)</f>
        <v>0.13003808928845828</v>
      </c>
      <c r="F228" s="235"/>
      <c r="G228" s="235"/>
      <c r="H228" s="235"/>
      <c r="I228" s="235"/>
      <c r="J228" s="243"/>
    </row>
    <row r="229" spans="2:12" ht="22" customHeight="1" x14ac:dyDescent="0.2">
      <c r="B229" s="220" t="s">
        <v>161</v>
      </c>
      <c r="C229" s="237"/>
      <c r="D229" s="237"/>
      <c r="E229" s="237"/>
      <c r="F229" s="237"/>
      <c r="G229" s="244"/>
      <c r="H229" s="245" t="s">
        <v>181</v>
      </c>
      <c r="I229" s="245" t="s">
        <v>221</v>
      </c>
      <c r="J229" s="246" t="s">
        <v>207</v>
      </c>
    </row>
    <row r="230" spans="2:12" ht="22" customHeight="1" x14ac:dyDescent="0.2">
      <c r="B230" s="25"/>
      <c r="C230" s="1" t="s">
        <v>222</v>
      </c>
      <c r="D230" s="1" t="s">
        <v>223</v>
      </c>
      <c r="G230" s="247" t="s">
        <v>209</v>
      </c>
      <c r="H230" s="1">
        <v>0.2</v>
      </c>
      <c r="I230" s="248">
        <v>10.083333333333332</v>
      </c>
      <c r="J230" s="249">
        <v>49.448221757322173</v>
      </c>
      <c r="K230" s="250"/>
    </row>
    <row r="231" spans="2:12" ht="22" customHeight="1" x14ac:dyDescent="0.2">
      <c r="B231" s="25" t="s">
        <v>224</v>
      </c>
      <c r="C231" s="213">
        <f>$J$203</f>
        <v>88454.065355533705</v>
      </c>
      <c r="D231" s="213">
        <f>$J$203</f>
        <v>88454.065355533705</v>
      </c>
      <c r="G231" s="247" t="s">
        <v>211</v>
      </c>
      <c r="H231" s="1">
        <v>0.3</v>
      </c>
      <c r="I231" s="248">
        <v>33.085301120719741</v>
      </c>
      <c r="J231" s="249">
        <v>70.902572924457743</v>
      </c>
      <c r="K231" s="250"/>
    </row>
    <row r="232" spans="2:12" ht="22" customHeight="1" x14ac:dyDescent="0.35">
      <c r="B232" s="25" t="s">
        <v>225</v>
      </c>
      <c r="C232" s="251">
        <f>J209</f>
        <v>483316.4626358879</v>
      </c>
      <c r="D232" s="251">
        <f>J214</f>
        <v>149558.82876757998</v>
      </c>
      <c r="G232" s="247" t="s">
        <v>213</v>
      </c>
      <c r="H232" s="1">
        <v>0.5</v>
      </c>
      <c r="I232" s="248">
        <v>5.0132308403059387</v>
      </c>
      <c r="J232" s="249">
        <v>15.332875421932648</v>
      </c>
      <c r="K232" s="250"/>
    </row>
    <row r="233" spans="2:12" ht="22" customHeight="1" x14ac:dyDescent="0.2">
      <c r="B233" s="25" t="s">
        <v>226</v>
      </c>
      <c r="C233" s="252">
        <f>SUM(C231:C232)</f>
        <v>571770.52799142164</v>
      </c>
      <c r="D233" s="252">
        <f>SUM(D231:D232)</f>
        <v>238012.89412311369</v>
      </c>
      <c r="G233" s="247" t="s">
        <v>215</v>
      </c>
      <c r="I233" s="253">
        <f>H230*I230+H231*I231+H232*I232</f>
        <v>14.448872423035557</v>
      </c>
      <c r="J233" s="254">
        <f>J230*H230+J231*H231+J232*H232</f>
        <v>38.826853939768085</v>
      </c>
      <c r="K233" s="250"/>
      <c r="L233" s="248"/>
    </row>
    <row r="234" spans="2:12" ht="22" customHeight="1" x14ac:dyDescent="0.35">
      <c r="B234" s="25" t="s">
        <v>227</v>
      </c>
      <c r="C234" s="251">
        <f>$E$218-$D$22</f>
        <v>7095</v>
      </c>
      <c r="D234" s="251">
        <f>$E$218-$D$22</f>
        <v>7095</v>
      </c>
      <c r="G234" s="247" t="s">
        <v>228</v>
      </c>
      <c r="I234" s="213">
        <f>D3</f>
        <v>25111</v>
      </c>
      <c r="J234" s="255">
        <f>D10</f>
        <v>9084</v>
      </c>
    </row>
    <row r="235" spans="2:12" ht="22" customHeight="1" x14ac:dyDescent="0.2">
      <c r="B235" s="25" t="s">
        <v>229</v>
      </c>
      <c r="C235" s="223">
        <f>C233-C234</f>
        <v>564675.52799142164</v>
      </c>
      <c r="D235" s="223">
        <f>D233-D234</f>
        <v>230917.89412311369</v>
      </c>
      <c r="G235" s="247" t="s">
        <v>230</v>
      </c>
      <c r="I235" s="213">
        <f>I233*I234</f>
        <v>362825.63541484583</v>
      </c>
      <c r="J235" s="255">
        <f>J233*J234</f>
        <v>352703.1411888533</v>
      </c>
    </row>
    <row r="236" spans="2:12" ht="22" customHeight="1" x14ac:dyDescent="0.35">
      <c r="B236" s="53" t="s">
        <v>231</v>
      </c>
      <c r="C236" s="256">
        <f>C235/$J$216</f>
        <v>509.17540846836937</v>
      </c>
      <c r="D236" s="256">
        <f>D235/$J$216</f>
        <v>208.22172599018367</v>
      </c>
      <c r="G236" s="247" t="s">
        <v>232</v>
      </c>
      <c r="I236" s="257">
        <f>$D$147-$D$22</f>
        <v>6450</v>
      </c>
      <c r="J236" s="258">
        <f>$D$147-$D$22</f>
        <v>6450</v>
      </c>
    </row>
    <row r="237" spans="2:12" ht="22" customHeight="1" x14ac:dyDescent="0.2">
      <c r="B237" s="25"/>
      <c r="G237" s="247" t="s">
        <v>233</v>
      </c>
      <c r="I237" s="223">
        <f>I235-I236</f>
        <v>356375.63541484583</v>
      </c>
      <c r="J237" s="259">
        <f>J235-J236</f>
        <v>346253.1411888533</v>
      </c>
    </row>
    <row r="238" spans="2:12" ht="22" customHeight="1" thickBot="1" x14ac:dyDescent="0.25">
      <c r="B238" s="45"/>
      <c r="C238" s="235"/>
      <c r="D238" s="235"/>
      <c r="E238" s="235"/>
      <c r="F238" s="235"/>
      <c r="G238" s="260" t="s">
        <v>234</v>
      </c>
      <c r="H238" s="261"/>
      <c r="I238" s="262">
        <f>I237/$E$242</f>
        <v>321.34863427849041</v>
      </c>
      <c r="J238" s="263">
        <f>J237/$E$242</f>
        <v>312.22104705938079</v>
      </c>
    </row>
    <row r="239" spans="2:12" ht="22" customHeight="1" x14ac:dyDescent="0.2">
      <c r="I239" s="226"/>
      <c r="J239" s="226"/>
    </row>
    <row r="240" spans="2:12" ht="22" customHeight="1" thickBot="1" x14ac:dyDescent="0.25"/>
    <row r="241" spans="2:12" ht="22" customHeight="1" x14ac:dyDescent="0.2">
      <c r="B241" s="3" t="s">
        <v>235</v>
      </c>
      <c r="C241" s="264"/>
      <c r="D241" s="264"/>
      <c r="E241" s="265"/>
      <c r="G241" s="455" t="s">
        <v>356</v>
      </c>
      <c r="H241" s="461" t="s">
        <v>181</v>
      </c>
      <c r="I241" s="460"/>
    </row>
    <row r="242" spans="2:12" ht="22" customHeight="1" x14ac:dyDescent="0.2">
      <c r="B242" s="25" t="s">
        <v>236</v>
      </c>
      <c r="E242" s="266">
        <v>1109</v>
      </c>
      <c r="G242" s="456" t="s">
        <v>222</v>
      </c>
      <c r="H242" s="462">
        <v>0.4</v>
      </c>
      <c r="I242" s="458"/>
    </row>
    <row r="243" spans="2:12" ht="22" customHeight="1" x14ac:dyDescent="0.2">
      <c r="B243" s="25" t="s">
        <v>212</v>
      </c>
      <c r="E243" s="267">
        <v>3.5000000000000003E-2</v>
      </c>
      <c r="G243" s="456" t="s">
        <v>223</v>
      </c>
      <c r="H243" s="462">
        <v>0.15</v>
      </c>
      <c r="I243" s="458"/>
    </row>
    <row r="244" spans="2:12" ht="22" customHeight="1" x14ac:dyDescent="0.2">
      <c r="B244" s="25" t="s">
        <v>237</v>
      </c>
      <c r="E244" s="267">
        <f>E243+5%</f>
        <v>8.5000000000000006E-2</v>
      </c>
      <c r="G244" s="456" t="s">
        <v>357</v>
      </c>
      <c r="H244" s="462">
        <v>0.15</v>
      </c>
      <c r="I244" s="458"/>
    </row>
    <row r="245" spans="2:12" ht="22" customHeight="1" thickBot="1" x14ac:dyDescent="0.25">
      <c r="B245" s="25" t="s">
        <v>238</v>
      </c>
      <c r="E245" s="268">
        <f>D258</f>
        <v>1.9567617857691653</v>
      </c>
      <c r="G245" s="457" t="s">
        <v>207</v>
      </c>
      <c r="H245" s="463">
        <v>0.3</v>
      </c>
      <c r="I245" s="459"/>
    </row>
    <row r="246" spans="2:12" ht="22" customHeight="1" x14ac:dyDescent="0.2">
      <c r="B246" s="25" t="s">
        <v>239</v>
      </c>
      <c r="E246" s="267">
        <v>-2.8E-3</v>
      </c>
    </row>
    <row r="247" spans="2:12" ht="22" customHeight="1" x14ac:dyDescent="0.2">
      <c r="B247" s="25" t="s">
        <v>240</v>
      </c>
      <c r="E247" s="267">
        <v>2.75E-2</v>
      </c>
    </row>
    <row r="248" spans="2:12" ht="22" customHeight="1" thickBot="1" x14ac:dyDescent="0.25">
      <c r="B248" s="269" t="s">
        <v>241</v>
      </c>
      <c r="C248" s="270"/>
      <c r="D248" s="270"/>
      <c r="E248" s="271">
        <f>J233</f>
        <v>38.826853939768085</v>
      </c>
      <c r="L248" s="464"/>
    </row>
    <row r="249" spans="2:12" ht="22" customHeight="1" thickBot="1" x14ac:dyDescent="0.25">
      <c r="E249" s="272"/>
    </row>
    <row r="250" spans="2:12" ht="22" customHeight="1" x14ac:dyDescent="0.2">
      <c r="B250" s="273" t="s">
        <v>242</v>
      </c>
      <c r="C250" s="274"/>
      <c r="D250" s="274"/>
      <c r="E250" s="275"/>
    </row>
    <row r="251" spans="2:12" ht="22" customHeight="1" x14ac:dyDescent="0.2">
      <c r="B251" s="25" t="s">
        <v>243</v>
      </c>
      <c r="C251" s="1" t="s">
        <v>244</v>
      </c>
      <c r="D251" s="1" t="s">
        <v>245</v>
      </c>
      <c r="E251" s="219" t="s">
        <v>246</v>
      </c>
    </row>
    <row r="252" spans="2:12" ht="22" customHeight="1" x14ac:dyDescent="0.2">
      <c r="B252" s="25" t="s">
        <v>247</v>
      </c>
      <c r="C252" s="276">
        <v>9.4999999999999998E-3</v>
      </c>
      <c r="D252" s="1">
        <v>2.08</v>
      </c>
      <c r="E252" s="241">
        <f>D252/(1+0.79*C252)</f>
        <v>2.0645058833454919</v>
      </c>
    </row>
    <row r="253" spans="2:12" ht="22" customHeight="1" x14ac:dyDescent="0.2">
      <c r="B253" s="25" t="s">
        <v>248</v>
      </c>
      <c r="C253" s="276">
        <v>0.1302690903886066</v>
      </c>
      <c r="D253" s="1">
        <v>2.02</v>
      </c>
      <c r="E253" s="241">
        <f>D253/(1+0.79*C253)</f>
        <v>1.8315141508523376</v>
      </c>
    </row>
    <row r="254" spans="2:12" ht="22" customHeight="1" x14ac:dyDescent="0.2">
      <c r="B254" s="25" t="s">
        <v>249</v>
      </c>
      <c r="C254" s="276">
        <v>0.99834510476077898</v>
      </c>
      <c r="D254" s="1">
        <v>1.78</v>
      </c>
      <c r="E254" s="241">
        <f>D254/(1+0.79*C254)</f>
        <v>0.99514023113764527</v>
      </c>
    </row>
    <row r="255" spans="2:12" ht="22" customHeight="1" x14ac:dyDescent="0.2">
      <c r="B255" s="25" t="s">
        <v>250</v>
      </c>
      <c r="C255" s="276">
        <v>0.30265882177701647</v>
      </c>
      <c r="D255" s="209">
        <v>2.4</v>
      </c>
      <c r="E255" s="241">
        <f>D255/(1+0.79*C255)</f>
        <v>1.936888944559974</v>
      </c>
    </row>
    <row r="256" spans="2:12" ht="22" customHeight="1" x14ac:dyDescent="0.2">
      <c r="B256" s="25" t="s">
        <v>251</v>
      </c>
      <c r="C256" s="276">
        <v>0.55697647864809319</v>
      </c>
      <c r="D256" s="1">
        <v>1.58</v>
      </c>
      <c r="E256" s="241">
        <f>D256/(1+0.79*C256)</f>
        <v>1.0972135221327632</v>
      </c>
    </row>
    <row r="257" spans="2:16" ht="22" customHeight="1" x14ac:dyDescent="0.2">
      <c r="B257" s="25" t="s">
        <v>252</v>
      </c>
      <c r="E257" s="241">
        <f>AVERAGE(E252:E256)</f>
        <v>1.5850525464056424</v>
      </c>
    </row>
    <row r="258" spans="2:16" ht="22" customHeight="1" thickBot="1" x14ac:dyDescent="0.25">
      <c r="B258" s="45" t="s">
        <v>253</v>
      </c>
      <c r="C258" s="277">
        <f>13397/45131</f>
        <v>0.29684695663734462</v>
      </c>
      <c r="D258" s="278">
        <f>E257*(1+0.79*C258)</f>
        <v>1.9567617857691653</v>
      </c>
      <c r="E258" s="243"/>
    </row>
    <row r="259" spans="2:16" ht="22" customHeight="1" thickBot="1" x14ac:dyDescent="0.25"/>
    <row r="260" spans="2:16" ht="22" customHeight="1" x14ac:dyDescent="0.2">
      <c r="B260" s="529" t="s">
        <v>254</v>
      </c>
      <c r="C260" s="530" t="s">
        <v>0</v>
      </c>
      <c r="D260" s="530" t="s">
        <v>1</v>
      </c>
      <c r="E260" s="530" t="s">
        <v>2</v>
      </c>
      <c r="F260" s="530" t="s">
        <v>3</v>
      </c>
      <c r="G260" s="530" t="s">
        <v>4</v>
      </c>
      <c r="H260" s="530" t="s">
        <v>5</v>
      </c>
      <c r="I260" s="530" t="s">
        <v>49</v>
      </c>
      <c r="J260" s="530" t="s">
        <v>7</v>
      </c>
      <c r="K260" s="530" t="s">
        <v>8</v>
      </c>
      <c r="L260" s="530" t="s">
        <v>9</v>
      </c>
      <c r="M260" s="530" t="s">
        <v>10</v>
      </c>
      <c r="N260" s="530" t="s">
        <v>11</v>
      </c>
      <c r="O260" s="531" t="s">
        <v>12</v>
      </c>
      <c r="P260" s="279"/>
    </row>
    <row r="261" spans="2:16" ht="22" customHeight="1" x14ac:dyDescent="0.2">
      <c r="B261" s="532" t="s">
        <v>255</v>
      </c>
      <c r="C261" s="280"/>
      <c r="D261" s="280">
        <f t="shared" ref="D261:O261" si="144">D10/D3</f>
        <v>0.36175381306996934</v>
      </c>
      <c r="E261" s="280">
        <f t="shared" si="144"/>
        <v>0.58089810643818951</v>
      </c>
      <c r="F261" s="280">
        <f t="shared" si="144"/>
        <v>0.59282206477929167</v>
      </c>
      <c r="G261" s="280">
        <f t="shared" si="144"/>
        <v>0.57034069539808896</v>
      </c>
      <c r="H261" s="280">
        <f t="shared" si="144"/>
        <v>0.54608647304374036</v>
      </c>
      <c r="I261" s="280">
        <f t="shared" si="144"/>
        <v>0.56796610262776315</v>
      </c>
      <c r="J261" s="280">
        <f t="shared" si="144"/>
        <v>0.53488948659762647</v>
      </c>
      <c r="K261" s="280">
        <f t="shared" si="144"/>
        <v>0.50531378069909771</v>
      </c>
      <c r="L261" s="280">
        <f t="shared" si="144"/>
        <v>0.49246426110448627</v>
      </c>
      <c r="M261" s="280">
        <f t="shared" si="144"/>
        <v>0.46811041040144474</v>
      </c>
      <c r="N261" s="280">
        <f t="shared" si="144"/>
        <v>0.47258343011473486</v>
      </c>
      <c r="O261" s="533">
        <f t="shared" si="144"/>
        <v>0.47014792134451544</v>
      </c>
      <c r="P261" s="281"/>
    </row>
    <row r="262" spans="2:16" ht="22" customHeight="1" x14ac:dyDescent="0.2">
      <c r="B262" s="532" t="s">
        <v>256</v>
      </c>
      <c r="C262" s="534"/>
      <c r="D262" s="280">
        <f>(D12+D107)*0.79/(D116+D90+D79+D32)</f>
        <v>2.1462666939694893E-2</v>
      </c>
      <c r="E262" s="280">
        <f t="shared" ref="E262:O262" si="145">E196/(E116+E90+E79+E32)</f>
        <v>0.14877499039719744</v>
      </c>
      <c r="F262" s="280">
        <f t="shared" si="145"/>
        <v>0.18949214594096264</v>
      </c>
      <c r="G262" s="280">
        <f t="shared" si="145"/>
        <v>0.21626724156063537</v>
      </c>
      <c r="H262" s="280">
        <f t="shared" si="145"/>
        <v>0.20534600216250348</v>
      </c>
      <c r="I262" s="280">
        <f t="shared" si="145"/>
        <v>0.21742334140817063</v>
      </c>
      <c r="J262" s="280">
        <f t="shared" si="145"/>
        <v>0.2055524303753152</v>
      </c>
      <c r="K262" s="280">
        <f t="shared" si="145"/>
        <v>0.29388981681381821</v>
      </c>
      <c r="L262" s="280">
        <f t="shared" si="145"/>
        <v>0.40497883592911904</v>
      </c>
      <c r="M262" s="280">
        <f t="shared" si="145"/>
        <v>0.48973455679263167</v>
      </c>
      <c r="N262" s="280">
        <f t="shared" si="145"/>
        <v>0.55567418327581286</v>
      </c>
      <c r="O262" s="533">
        <f t="shared" si="145"/>
        <v>0.62130058136972932</v>
      </c>
      <c r="P262" s="281"/>
    </row>
    <row r="263" spans="2:16" ht="22" customHeight="1" x14ac:dyDescent="0.2">
      <c r="B263" s="532" t="s">
        <v>257</v>
      </c>
      <c r="C263" s="534"/>
      <c r="D263" s="280">
        <f t="shared" ref="D263:O263" si="146">D18/((D43+C43)/2)</f>
        <v>1.7433978330775004E-2</v>
      </c>
      <c r="E263" s="280">
        <f t="shared" ca="1" si="146"/>
        <v>0.16660231695059524</v>
      </c>
      <c r="F263" s="280">
        <f t="shared" ca="1" si="146"/>
        <v>0.19284363668821938</v>
      </c>
      <c r="G263" s="280">
        <f t="shared" ca="1" si="146"/>
        <v>0.19335527903555333</v>
      </c>
      <c r="H263" s="280">
        <f t="shared" ca="1" si="146"/>
        <v>0.16671270541763406</v>
      </c>
      <c r="I263" s="280">
        <f t="shared" ca="1" si="146"/>
        <v>0.15931593109962458</v>
      </c>
      <c r="J263" s="280">
        <f t="shared" ca="1" si="146"/>
        <v>0.13738325046255281</v>
      </c>
      <c r="K263" s="280">
        <f t="shared" ca="1" si="146"/>
        <v>0.17889431080092952</v>
      </c>
      <c r="L263" s="280">
        <f t="shared" ca="1" si="146"/>
        <v>0.21129316188415398</v>
      </c>
      <c r="M263" s="280">
        <f t="shared" ca="1" si="146"/>
        <v>0.21099340495928304</v>
      </c>
      <c r="N263" s="280">
        <f t="shared" ca="1" si="146"/>
        <v>0.1959122123834483</v>
      </c>
      <c r="O263" s="533">
        <f t="shared" ca="1" si="146"/>
        <v>0.17968341462283607</v>
      </c>
      <c r="P263" s="281"/>
    </row>
    <row r="264" spans="2:16" ht="22" customHeight="1" x14ac:dyDescent="0.2">
      <c r="B264" s="532" t="s">
        <v>258</v>
      </c>
      <c r="C264" s="280"/>
      <c r="D264" s="280">
        <f t="shared" ref="D264:O264" si="147">D18/D3</f>
        <v>3.0982437975389271E-2</v>
      </c>
      <c r="E264" s="280">
        <f t="shared" ca="1" si="147"/>
        <v>0.24971271875422479</v>
      </c>
      <c r="F264" s="280">
        <f t="shared" ca="1" si="147"/>
        <v>0.26935361325734491</v>
      </c>
      <c r="G264" s="280">
        <f t="shared" ca="1" si="147"/>
        <v>0.27650414308361226</v>
      </c>
      <c r="H264" s="280">
        <f t="shared" ca="1" si="147"/>
        <v>0.27049777862888641</v>
      </c>
      <c r="I264" s="280">
        <f t="shared" ca="1" si="147"/>
        <v>0.29133216137391399</v>
      </c>
      <c r="J264" s="280">
        <f t="shared" ca="1" si="147"/>
        <v>0.27594814916065297</v>
      </c>
      <c r="K264" s="280">
        <f t="shared" ca="1" si="147"/>
        <v>0.29901782277955719</v>
      </c>
      <c r="L264" s="280">
        <f t="shared" ca="1" si="147"/>
        <v>0.31784209746260988</v>
      </c>
      <c r="M264" s="280">
        <f t="shared" ca="1" si="147"/>
        <v>0.31729571235104298</v>
      </c>
      <c r="N264" s="280">
        <f t="shared" ca="1" si="147"/>
        <v>0.33159855273751121</v>
      </c>
      <c r="O264" s="533">
        <f t="shared" ca="1" si="147"/>
        <v>0.34008628816022762</v>
      </c>
      <c r="P264" s="281"/>
    </row>
    <row r="265" spans="2:16" ht="22" customHeight="1" x14ac:dyDescent="0.2">
      <c r="B265" s="532" t="s">
        <v>259</v>
      </c>
      <c r="C265" s="534"/>
      <c r="D265" s="280">
        <f t="shared" ref="D265:O265" si="148">D3/((D34+C34)/2)</f>
        <v>0.37571631630133911</v>
      </c>
      <c r="E265" s="280">
        <f t="shared" ca="1" si="148"/>
        <v>0.4478529744961337</v>
      </c>
      <c r="F265" s="280">
        <f t="shared" ca="1" si="148"/>
        <v>0.5027456199543141</v>
      </c>
      <c r="G265" s="280">
        <f t="shared" ca="1" si="148"/>
        <v>0.50736521855857197</v>
      </c>
      <c r="H265" s="280">
        <f t="shared" ca="1" si="148"/>
        <v>0.46165075964203112</v>
      </c>
      <c r="I265" s="280">
        <f t="shared" ca="1" si="148"/>
        <v>0.42105878019958759</v>
      </c>
      <c r="J265" s="280">
        <f t="shared" ca="1" si="148"/>
        <v>0.390792254860376</v>
      </c>
      <c r="K265" s="280">
        <f t="shared" ca="1" si="148"/>
        <v>0.4714833105459405</v>
      </c>
      <c r="L265" s="280">
        <f t="shared" ca="1" si="148"/>
        <v>0.52341728297967038</v>
      </c>
      <c r="M265" s="280">
        <f t="shared" ca="1" si="148"/>
        <v>0.52689071602229565</v>
      </c>
      <c r="N265" s="280">
        <f t="shared" ca="1" si="148"/>
        <v>0.47706982905375517</v>
      </c>
      <c r="O265" s="533">
        <f t="shared" ca="1" si="148"/>
        <v>0.43650651034422017</v>
      </c>
      <c r="P265" s="281"/>
    </row>
    <row r="266" spans="2:16" ht="22" customHeight="1" x14ac:dyDescent="0.2">
      <c r="B266" s="532" t="s">
        <v>260</v>
      </c>
      <c r="C266" s="534"/>
      <c r="D266" s="535">
        <f t="shared" ref="D266:O266" si="149">((D34+C34)/2)/((D43+C43)/2)</f>
        <v>1.4976863004336085</v>
      </c>
      <c r="E266" s="535">
        <f t="shared" ca="1" si="149"/>
        <v>1.4897209002342162</v>
      </c>
      <c r="F266" s="535">
        <f t="shared" ca="1" si="149"/>
        <v>1.4240794239976375</v>
      </c>
      <c r="G266" s="535">
        <f t="shared" ca="1" si="149"/>
        <v>1.3782680825538103</v>
      </c>
      <c r="H266" s="535">
        <f t="shared" ca="1" si="149"/>
        <v>1.3350312812507319</v>
      </c>
      <c r="I266" s="535">
        <f t="shared" ca="1" si="149"/>
        <v>1.2987574363664713</v>
      </c>
      <c r="J266" s="535">
        <f t="shared" ca="1" si="149"/>
        <v>1.2739733822302459</v>
      </c>
      <c r="K266" s="535">
        <f t="shared" ca="1" si="149"/>
        <v>1.2689167496653804</v>
      </c>
      <c r="L266" s="535">
        <f t="shared" ca="1" si="149"/>
        <v>1.2700650507419551</v>
      </c>
      <c r="M266" s="535">
        <f t="shared" ca="1" si="149"/>
        <v>1.2620719980095354</v>
      </c>
      <c r="N266" s="535">
        <f t="shared" ca="1" si="149"/>
        <v>1.2384170738542934</v>
      </c>
      <c r="O266" s="536">
        <f t="shared" ca="1" si="149"/>
        <v>1.2103978528092723</v>
      </c>
      <c r="P266" s="282"/>
    </row>
    <row r="267" spans="2:16" ht="22" customHeight="1" x14ac:dyDescent="0.2">
      <c r="B267" s="532" t="s">
        <v>261</v>
      </c>
      <c r="C267" s="280"/>
      <c r="D267" s="537">
        <f t="shared" ref="D267:O267" si="150">D18/D161</f>
        <v>0.70169552366959709</v>
      </c>
      <c r="E267" s="537">
        <f t="shared" ca="1" si="150"/>
        <v>7.3861500745292936</v>
      </c>
      <c r="F267" s="537">
        <f t="shared" ca="1" si="150"/>
        <v>10.261312857135175</v>
      </c>
      <c r="G267" s="537">
        <f t="shared" ca="1" si="150"/>
        <v>12.513074069213461</v>
      </c>
      <c r="H267" s="537">
        <f t="shared" ca="1" si="150"/>
        <v>12.930500212938506</v>
      </c>
      <c r="I267" s="537">
        <f t="shared" ca="1" si="150"/>
        <v>14.557594017551795</v>
      </c>
      <c r="J267" s="537">
        <f t="shared" ca="1" si="150"/>
        <v>14.547839175461183</v>
      </c>
      <c r="K267" s="537">
        <f t="shared" ca="1" si="150"/>
        <v>23.295226820615703</v>
      </c>
      <c r="L267" s="537">
        <f t="shared" ca="1" si="150"/>
        <v>33.395516017039306</v>
      </c>
      <c r="M267" s="537">
        <f t="shared" ca="1" si="150"/>
        <v>40.959047079159618</v>
      </c>
      <c r="N267" s="537">
        <f t="shared" ca="1" si="150"/>
        <v>46.212029535031107</v>
      </c>
      <c r="O267" s="538">
        <f t="shared" ca="1" si="150"/>
        <v>50.54635567315129</v>
      </c>
      <c r="P267" s="283"/>
    </row>
    <row r="268" spans="2:16" ht="22" customHeight="1" x14ac:dyDescent="0.2">
      <c r="B268" s="545" t="s">
        <v>262</v>
      </c>
      <c r="C268" s="539">
        <f>C236*H242+D236*H243+I238*H244+J238*H245</f>
        <v>376.77203154546311</v>
      </c>
      <c r="D268" s="534"/>
      <c r="E268" s="544"/>
      <c r="F268" s="534"/>
      <c r="G268" s="534"/>
      <c r="H268" s="534"/>
      <c r="I268" s="534"/>
      <c r="J268" s="534"/>
      <c r="K268" s="514"/>
      <c r="L268" s="514"/>
      <c r="M268" s="514"/>
      <c r="N268" s="514"/>
      <c r="O268" s="219"/>
    </row>
    <row r="269" spans="2:16" ht="22" customHeight="1" x14ac:dyDescent="0.2">
      <c r="B269" s="532" t="s">
        <v>263</v>
      </c>
      <c r="C269" s="534"/>
      <c r="D269" s="535">
        <f t="shared" ref="D269:O269" si="151">D12/-D13</f>
        <v>2.3202846975088969</v>
      </c>
      <c r="E269" s="535">
        <f t="shared" si="151"/>
        <v>20.427337902170773</v>
      </c>
      <c r="F269" s="535">
        <f t="shared" si="151"/>
        <v>27.260455648060749</v>
      </c>
      <c r="G269" s="535">
        <f t="shared" si="151"/>
        <v>32.302181857897878</v>
      </c>
      <c r="H269" s="535">
        <f t="shared" si="151"/>
        <v>32.380027723180888</v>
      </c>
      <c r="I269" s="535">
        <f t="shared" si="151"/>
        <v>35.503066816341828</v>
      </c>
      <c r="J269" s="535">
        <f t="shared" si="151"/>
        <v>34.311541082114225</v>
      </c>
      <c r="K269" s="535">
        <f t="shared" si="151"/>
        <v>51.648186132120756</v>
      </c>
      <c r="L269" s="535">
        <f t="shared" si="151"/>
        <v>73.529318260282849</v>
      </c>
      <c r="M269" s="535">
        <f t="shared" si="151"/>
        <v>89.741141030176905</v>
      </c>
      <c r="N269" s="535">
        <f t="shared" si="151"/>
        <v>100.16581692874107</v>
      </c>
      <c r="O269" s="536">
        <f t="shared" si="151"/>
        <v>108.74454639620953</v>
      </c>
      <c r="P269" s="282"/>
    </row>
    <row r="270" spans="2:16" ht="22" customHeight="1" thickBot="1" x14ac:dyDescent="0.25">
      <c r="B270" s="540" t="s">
        <v>264</v>
      </c>
      <c r="C270" s="541"/>
      <c r="D270" s="542">
        <f t="shared" ref="D270:O270" si="152">(D147-D69)/D13</f>
        <v>-11.476868327402135</v>
      </c>
      <c r="E270" s="542">
        <f t="shared" ca="1" si="152"/>
        <v>-13.053655884554097</v>
      </c>
      <c r="F270" s="542">
        <f t="shared" ca="1" si="152"/>
        <v>-8.6224922977069536</v>
      </c>
      <c r="G270" s="542">
        <f t="shared" ca="1" si="152"/>
        <v>-4.9526390830305136</v>
      </c>
      <c r="H270" s="542">
        <f t="shared" ca="1" si="152"/>
        <v>-3.1954715723598519</v>
      </c>
      <c r="I270" s="542">
        <f t="shared" ca="1" si="152"/>
        <v>-2.7083220691020102</v>
      </c>
      <c r="J270" s="542">
        <f t="shared" ca="1" si="152"/>
        <v>-1.9280537007714129</v>
      </c>
      <c r="K270" s="542">
        <f t="shared" ca="1" si="152"/>
        <v>6.0848856380234242</v>
      </c>
      <c r="L270" s="542">
        <f t="shared" ca="1" si="152"/>
        <v>15.846070207535318</v>
      </c>
      <c r="M270" s="542">
        <f t="shared" ca="1" si="152"/>
        <v>24.572754558512205</v>
      </c>
      <c r="N270" s="542">
        <f t="shared" ca="1" si="152"/>
        <v>28.380289245297206</v>
      </c>
      <c r="O270" s="543">
        <f t="shared" ca="1" si="152"/>
        <v>32.054789176248171</v>
      </c>
      <c r="P270" s="284"/>
    </row>
  </sheetData>
  <dataValidations count="1">
    <dataValidation type="list" allowBlank="1" showInputMessage="1" showErrorMessage="1" sqref="B164" xr:uid="{6F94C836-3709-FA4D-B97F-77990686A7F6}">
      <formula1>"Base, Bear, Bull"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986C-3404-4F40-B1CF-EA4B03FE4FA8}">
  <dimension ref="B1:AK21"/>
  <sheetViews>
    <sheetView zoomScale="68" zoomScaleNormal="49" workbookViewId="0">
      <selection activeCell="S14" sqref="S14"/>
    </sheetView>
  </sheetViews>
  <sheetFormatPr baseColWidth="10" defaultColWidth="19.83203125" defaultRowHeight="25" customHeight="1" x14ac:dyDescent="0.2"/>
  <cols>
    <col min="1" max="1" width="19.83203125" style="285"/>
    <col min="2" max="2" width="44.1640625" style="285" customWidth="1"/>
    <col min="3" max="3" width="23" style="285" customWidth="1"/>
    <col min="4" max="36" width="19.83203125" style="285"/>
    <col min="37" max="37" width="96.6640625" style="285" customWidth="1"/>
    <col min="38" max="16384" width="19.83203125" style="285"/>
  </cols>
  <sheetData>
    <row r="1" spans="2:37" ht="25" customHeight="1" thickBot="1" x14ac:dyDescent="0.25"/>
    <row r="2" spans="2:37" ht="25" customHeight="1" thickBot="1" x14ac:dyDescent="0.3">
      <c r="B2" s="286" t="s">
        <v>265</v>
      </c>
      <c r="C2" s="286" t="s">
        <v>266</v>
      </c>
      <c r="D2" s="287"/>
      <c r="E2" s="287"/>
      <c r="F2" s="287"/>
      <c r="G2" s="287"/>
      <c r="H2" s="287"/>
      <c r="I2" s="288" t="s">
        <v>267</v>
      </c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9" t="s">
        <v>268</v>
      </c>
      <c r="AA2" s="290">
        <v>45920</v>
      </c>
      <c r="AB2" s="287"/>
      <c r="AC2" s="287"/>
      <c r="AD2" s="287"/>
      <c r="AE2" s="287"/>
      <c r="AF2" s="287"/>
      <c r="AG2" s="291" t="s">
        <v>269</v>
      </c>
      <c r="AH2" s="287"/>
      <c r="AI2" s="287"/>
      <c r="AJ2" s="287"/>
    </row>
    <row r="3" spans="2:37" ht="25" customHeight="1" thickBot="1" x14ac:dyDescent="0.35">
      <c r="B3" s="292" t="s">
        <v>270</v>
      </c>
      <c r="C3" s="293" t="s">
        <v>271</v>
      </c>
      <c r="D3" s="294" t="s">
        <v>272</v>
      </c>
      <c r="E3" s="295" t="s">
        <v>273</v>
      </c>
      <c r="F3" s="295" t="s">
        <v>274</v>
      </c>
      <c r="G3" s="295" t="s">
        <v>275</v>
      </c>
      <c r="H3" s="295" t="s">
        <v>276</v>
      </c>
      <c r="I3" s="295" t="s">
        <v>277</v>
      </c>
      <c r="J3" s="294" t="s">
        <v>278</v>
      </c>
      <c r="K3" s="295" t="s">
        <v>279</v>
      </c>
      <c r="L3" s="295" t="s">
        <v>280</v>
      </c>
      <c r="M3" s="294" t="s">
        <v>281</v>
      </c>
      <c r="N3" s="294" t="s">
        <v>281</v>
      </c>
      <c r="O3" s="295" t="s">
        <v>282</v>
      </c>
      <c r="P3" s="295" t="s">
        <v>283</v>
      </c>
      <c r="Q3" s="295" t="s">
        <v>284</v>
      </c>
      <c r="R3" s="294" t="s">
        <v>285</v>
      </c>
      <c r="S3" s="295" t="s">
        <v>286</v>
      </c>
      <c r="T3" s="295" t="s">
        <v>287</v>
      </c>
      <c r="U3" s="295" t="s">
        <v>288</v>
      </c>
      <c r="V3" s="295" t="s">
        <v>289</v>
      </c>
      <c r="W3" s="294" t="s">
        <v>257</v>
      </c>
      <c r="X3" s="294" t="s">
        <v>290</v>
      </c>
      <c r="Y3" s="294" t="s">
        <v>291</v>
      </c>
      <c r="Z3" s="295" t="s">
        <v>292</v>
      </c>
      <c r="AA3" s="295" t="s">
        <v>293</v>
      </c>
      <c r="AB3" s="294" t="s">
        <v>261</v>
      </c>
      <c r="AC3" s="294" t="s">
        <v>294</v>
      </c>
      <c r="AD3" s="294" t="s">
        <v>295</v>
      </c>
      <c r="AE3" s="294" t="s">
        <v>296</v>
      </c>
      <c r="AF3" s="294" t="s">
        <v>297</v>
      </c>
      <c r="AG3" s="294" t="s">
        <v>298</v>
      </c>
      <c r="AH3" s="294" t="s">
        <v>299</v>
      </c>
      <c r="AI3" s="294" t="s">
        <v>300</v>
      </c>
      <c r="AJ3" s="293" t="s">
        <v>301</v>
      </c>
      <c r="AK3" s="296" t="s">
        <v>302</v>
      </c>
    </row>
    <row r="4" spans="2:37" ht="25" customHeight="1" x14ac:dyDescent="0.25">
      <c r="B4" s="297" t="s">
        <v>303</v>
      </c>
      <c r="C4" s="298">
        <f>D4+E4-G4</f>
        <v>3280660.6690000007</v>
      </c>
      <c r="D4" s="299">
        <f>Z4*AA4</f>
        <v>3425282.6690000007</v>
      </c>
      <c r="E4" s="298">
        <v>0</v>
      </c>
      <c r="F4" s="298">
        <v>5265</v>
      </c>
      <c r="G4" s="298">
        <v>144622</v>
      </c>
      <c r="H4" s="298">
        <v>284865</v>
      </c>
      <c r="I4" s="298">
        <v>226474</v>
      </c>
      <c r="J4" s="300">
        <f>(H4-I4)/I4</f>
        <v>0.25782650547082669</v>
      </c>
      <c r="K4" s="301">
        <v>-100535</v>
      </c>
      <c r="L4" s="298">
        <v>-129747</v>
      </c>
      <c r="M4" s="302">
        <f>K4/H4</f>
        <v>-0.35292155933512365</v>
      </c>
      <c r="N4" s="300">
        <f>K4/H4</f>
        <v>-0.35292155933512365</v>
      </c>
      <c r="O4" s="301">
        <v>-126595</v>
      </c>
      <c r="P4" s="298">
        <f>O4+26060+3800</f>
        <v>-96735</v>
      </c>
      <c r="Q4" s="298">
        <v>-117126</v>
      </c>
      <c r="R4" s="300">
        <f>Q4/H4</f>
        <v>-0.4111631825601601</v>
      </c>
      <c r="S4" s="301">
        <v>688968</v>
      </c>
      <c r="T4" s="298">
        <v>250265</v>
      </c>
      <c r="U4" s="298">
        <v>559871</v>
      </c>
      <c r="V4" s="298">
        <v>561412</v>
      </c>
      <c r="W4" s="302">
        <f>Q4/AVERAGE(U4:V4)</f>
        <v>-0.2089142526908907</v>
      </c>
      <c r="X4" s="303">
        <f>Q4/((S4+657655)/2)</f>
        <v>-0.17395514557526495</v>
      </c>
      <c r="Y4" s="303">
        <f>E4/K4</f>
        <v>0</v>
      </c>
      <c r="Z4" s="304">
        <v>82.93</v>
      </c>
      <c r="AA4" s="305">
        <v>41303.300000000003</v>
      </c>
      <c r="AB4" s="306">
        <f>Q4/AA4</f>
        <v>-2.835754043865744</v>
      </c>
      <c r="AC4" s="307">
        <f>Z4/AB4</f>
        <v>-29.244426250362864</v>
      </c>
      <c r="AD4" s="307">
        <f>Z4/(V4/AA4)</f>
        <v>6.1011924736200873</v>
      </c>
      <c r="AE4" s="300">
        <f>E4/D4</f>
        <v>0</v>
      </c>
      <c r="AF4" s="308">
        <f>E4/V4</f>
        <v>0</v>
      </c>
      <c r="AG4" s="309">
        <f>Q4/H4</f>
        <v>-0.4111631825601601</v>
      </c>
      <c r="AH4" s="309">
        <f>H4/S4</f>
        <v>0.41346622774932945</v>
      </c>
      <c r="AI4" s="309">
        <f>S4/V4</f>
        <v>1.2272056885139613</v>
      </c>
      <c r="AJ4" s="310">
        <f>AG4*AI4*AH4</f>
        <v>-0.20862753200857842</v>
      </c>
      <c r="AK4" s="311" t="s">
        <v>304</v>
      </c>
    </row>
    <row r="5" spans="2:37" ht="25" customHeight="1" x14ac:dyDescent="0.25">
      <c r="B5" s="312" t="s">
        <v>305</v>
      </c>
      <c r="C5" s="313">
        <f>D5+E5-G5</f>
        <v>259998749.99999997</v>
      </c>
      <c r="D5" s="314">
        <f>Z5*AA5</f>
        <v>255758749.99999997</v>
      </c>
      <c r="E5" s="313">
        <v>7281000</v>
      </c>
      <c r="F5" s="313">
        <v>1721000</v>
      </c>
      <c r="G5" s="313">
        <v>3041000</v>
      </c>
      <c r="H5" s="313">
        <v>25785000</v>
      </c>
      <c r="I5" s="313">
        <v>22680000</v>
      </c>
      <c r="J5" s="315">
        <f>(H5-I5)/I5</f>
        <v>0.13690476190476192</v>
      </c>
      <c r="K5" s="316">
        <v>5258000</v>
      </c>
      <c r="L5" s="313">
        <v>4149000</v>
      </c>
      <c r="M5" s="317">
        <f>K5/H5</f>
        <v>0.20391700601124685</v>
      </c>
      <c r="N5" s="315">
        <f>K5/H5</f>
        <v>0.20391700601124685</v>
      </c>
      <c r="O5" s="316">
        <v>2081000</v>
      </c>
      <c r="P5" s="318">
        <f>K5+147000</f>
        <v>5405000</v>
      </c>
      <c r="Q5" s="313">
        <v>1641000</v>
      </c>
      <c r="R5" s="315">
        <f>Q5/H5</f>
        <v>6.3641652123327522E-2</v>
      </c>
      <c r="S5" s="316">
        <v>69226000</v>
      </c>
      <c r="T5" s="318">
        <v>5132000</v>
      </c>
      <c r="U5" s="319">
        <v>54750000</v>
      </c>
      <c r="V5" s="313">
        <v>55892000</v>
      </c>
      <c r="W5" s="317">
        <f>Q5/AVERAGE(U5:V5)</f>
        <v>2.9663238191645125E-2</v>
      </c>
      <c r="X5" s="315">
        <f>Q5/((S5+67580000)/2)</f>
        <v>2.3990175869479408E-2</v>
      </c>
      <c r="Y5" s="315">
        <f>E5/K5</f>
        <v>1.3847470521110687</v>
      </c>
      <c r="Z5" s="320">
        <v>157.38999999999999</v>
      </c>
      <c r="AA5" s="321">
        <v>1625000</v>
      </c>
      <c r="AB5" s="320">
        <v>1.01</v>
      </c>
      <c r="AC5" s="322">
        <f>Z5/AB5</f>
        <v>155.83168316831683</v>
      </c>
      <c r="AD5" s="322">
        <f>Z5/(V5/AA5)</f>
        <v>4.5759455736062407</v>
      </c>
      <c r="AE5" s="315">
        <f>E5/D5</f>
        <v>2.8468234224635524E-2</v>
      </c>
      <c r="AF5" s="323">
        <f>E5/V5</f>
        <v>0.1302690903886066</v>
      </c>
      <c r="AG5" s="324">
        <f>Q5/H5</f>
        <v>6.3641652123327522E-2</v>
      </c>
      <c r="AH5" s="324">
        <f>H5/S5</f>
        <v>0.3724756594343166</v>
      </c>
      <c r="AI5" s="324">
        <f>S5/V5</f>
        <v>1.2385672368138554</v>
      </c>
      <c r="AJ5" s="325">
        <f>AG5*AI5*AH5</f>
        <v>2.9360194661132186E-2</v>
      </c>
      <c r="AK5" s="326" t="s">
        <v>306</v>
      </c>
    </row>
    <row r="6" spans="2:37" ht="25" customHeight="1" x14ac:dyDescent="0.25">
      <c r="B6" s="297" t="s">
        <v>307</v>
      </c>
      <c r="C6" s="298">
        <f>D6+E6-G6</f>
        <v>1706341320</v>
      </c>
      <c r="D6" s="299">
        <f>Z6*AA6</f>
        <v>1648123320</v>
      </c>
      <c r="E6" s="327">
        <v>67566000</v>
      </c>
      <c r="F6" s="298">
        <v>1325000</v>
      </c>
      <c r="G6" s="298">
        <v>9348000</v>
      </c>
      <c r="H6" s="298">
        <v>51574000</v>
      </c>
      <c r="I6" s="298">
        <v>35819000</v>
      </c>
      <c r="J6" s="300">
        <f>(H6-I6)/I6</f>
        <v>0.43985035874815043</v>
      </c>
      <c r="K6" s="301">
        <v>23879000</v>
      </c>
      <c r="L6" s="298">
        <v>20554000</v>
      </c>
      <c r="M6" s="302">
        <f>K6/H6</f>
        <v>0.46300461472835147</v>
      </c>
      <c r="N6" s="300">
        <f>K6/H6</f>
        <v>0.46300461472835147</v>
      </c>
      <c r="O6" s="301">
        <v>13869000</v>
      </c>
      <c r="P6" s="298">
        <f>K6+187000</f>
        <v>24066000</v>
      </c>
      <c r="Q6" s="298">
        <v>5895000</v>
      </c>
      <c r="R6" s="300">
        <f>Q6/H6</f>
        <v>0.11430177996664986</v>
      </c>
      <c r="S6" s="301">
        <v>165645000</v>
      </c>
      <c r="T6" s="298">
        <v>9348</v>
      </c>
      <c r="U6" s="298">
        <v>23988000</v>
      </c>
      <c r="V6" s="298">
        <v>67678000</v>
      </c>
      <c r="W6" s="302">
        <f>Q6/AVERAGE(U6:V6)</f>
        <v>0.12861911722994349</v>
      </c>
      <c r="X6" s="303">
        <f>Q6/((S6+72861000)/2)</f>
        <v>4.9432718673744054E-2</v>
      </c>
      <c r="Y6" s="303">
        <f>E6/K6</f>
        <v>2.8295154738473136</v>
      </c>
      <c r="Z6" s="304">
        <v>344.94</v>
      </c>
      <c r="AA6" s="305">
        <v>4778000</v>
      </c>
      <c r="AB6" s="304">
        <v>1.23</v>
      </c>
      <c r="AC6" s="307">
        <f>Z6/AB6</f>
        <v>280.4390243902439</v>
      </c>
      <c r="AD6" s="307">
        <f>Z6/(V6/AA6)</f>
        <v>24.352423534974438</v>
      </c>
      <c r="AE6" s="300">
        <f>E6/D6</f>
        <v>4.0995718694156941E-2</v>
      </c>
      <c r="AF6" s="308">
        <f>E6/V6</f>
        <v>0.99834510476077898</v>
      </c>
      <c r="AG6" s="309">
        <f>Q6/H6</f>
        <v>0.11430177996664986</v>
      </c>
      <c r="AH6" s="309">
        <f>H6/S6</f>
        <v>0.31135259138519122</v>
      </c>
      <c r="AI6" s="309">
        <f>S6/V6</f>
        <v>2.4475457312568336</v>
      </c>
      <c r="AJ6" s="310">
        <f>AG6*AI6*AH6</f>
        <v>8.7103637814356219E-2</v>
      </c>
      <c r="AK6" s="311" t="s">
        <v>308</v>
      </c>
    </row>
    <row r="7" spans="2:37" ht="25" customHeight="1" x14ac:dyDescent="0.25">
      <c r="B7" s="312" t="s">
        <v>309</v>
      </c>
      <c r="C7" s="313">
        <f>D7+E7-G7</f>
        <v>67444730</v>
      </c>
      <c r="D7" s="314">
        <f>Z7*AA7</f>
        <v>64272030.000000007</v>
      </c>
      <c r="E7" s="313">
        <v>4063800</v>
      </c>
      <c r="F7" s="313">
        <v>80900</v>
      </c>
      <c r="G7" s="313">
        <v>891100</v>
      </c>
      <c r="H7" s="313">
        <v>5767300</v>
      </c>
      <c r="I7" s="314">
        <v>5507700</v>
      </c>
      <c r="J7" s="315">
        <f>(H7-I7)/I7</f>
        <v>4.7134012382664271E-2</v>
      </c>
      <c r="K7" s="316">
        <v>651600</v>
      </c>
      <c r="L7" s="313">
        <v>850700</v>
      </c>
      <c r="M7" s="317">
        <f>K7/H7</f>
        <v>0.11298181124616372</v>
      </c>
      <c r="N7" s="315">
        <f>K7/H7</f>
        <v>0.11298181124616372</v>
      </c>
      <c r="O7" s="316">
        <v>-705300</v>
      </c>
      <c r="P7" s="313">
        <f>K7+58200</f>
        <v>709800</v>
      </c>
      <c r="Q7" s="313">
        <v>-885000</v>
      </c>
      <c r="R7" s="315">
        <f>Q7/H7</f>
        <v>-0.15345135505349122</v>
      </c>
      <c r="S7" s="316">
        <v>20204500</v>
      </c>
      <c r="T7" s="313">
        <v>948300</v>
      </c>
      <c r="U7" s="313">
        <v>14831400</v>
      </c>
      <c r="V7" s="313">
        <v>13427000</v>
      </c>
      <c r="W7" s="317">
        <f>Q7/AVERAGE(U7:V7)</f>
        <v>-6.2636242674744505E-2</v>
      </c>
      <c r="X7" s="315">
        <f>Q7/((S7+21228.5)/2)</f>
        <v>-8.7512299000750457E-2</v>
      </c>
      <c r="Y7" s="315">
        <f>E7/K7</f>
        <v>6.2366482504604051</v>
      </c>
      <c r="Z7" s="320">
        <v>74.260000000000005</v>
      </c>
      <c r="AA7" s="321">
        <v>865500</v>
      </c>
      <c r="AB7" s="320">
        <v>-1.02</v>
      </c>
      <c r="AC7" s="322">
        <f>Z7/AB7</f>
        <v>-72.803921568627459</v>
      </c>
      <c r="AD7" s="322">
        <f>Z7/(V7/AA7)</f>
        <v>4.7867751545393613</v>
      </c>
      <c r="AE7" s="315">
        <f>E7/D7</f>
        <v>6.3228125827051049E-2</v>
      </c>
      <c r="AF7" s="323">
        <f>E7/V7</f>
        <v>0.30265882177701647</v>
      </c>
      <c r="AG7" s="324">
        <f>Q7/H7</f>
        <v>-0.15345135505349122</v>
      </c>
      <c r="AH7" s="324">
        <f>H7/S7</f>
        <v>0.28544631146526767</v>
      </c>
      <c r="AI7" s="324">
        <f>S7/V7</f>
        <v>1.5047665152305056</v>
      </c>
      <c r="AJ7" s="325">
        <f>AG7*AI7*AH7</f>
        <v>-6.5911968421836595E-2</v>
      </c>
      <c r="AK7" s="326" t="s">
        <v>310</v>
      </c>
    </row>
    <row r="8" spans="2:37" ht="25" customHeight="1" thickBot="1" x14ac:dyDescent="0.3">
      <c r="B8" s="297" t="s">
        <v>311</v>
      </c>
      <c r="C8" s="298">
        <f>D8+E8-G8</f>
        <v>195325500</v>
      </c>
      <c r="D8" s="299">
        <f>Z8*AA8</f>
        <v>188540500</v>
      </c>
      <c r="E8" s="327">
        <v>14634000</v>
      </c>
      <c r="F8" s="327">
        <v>719000</v>
      </c>
      <c r="G8" s="327">
        <v>7849000</v>
      </c>
      <c r="H8" s="327">
        <v>38962000</v>
      </c>
      <c r="I8" s="327">
        <v>35820000</v>
      </c>
      <c r="J8" s="300">
        <f>(H8-I8)/I8</f>
        <v>8.7716359575656058E-2</v>
      </c>
      <c r="K8" s="301">
        <v>12739000</v>
      </c>
      <c r="L8" s="327">
        <v>9946000</v>
      </c>
      <c r="M8" s="302">
        <f>K8/H8</f>
        <v>0.32695960166315896</v>
      </c>
      <c r="N8" s="300">
        <f>K8/H8</f>
        <v>0.32695960166315896</v>
      </c>
      <c r="O8" s="301">
        <v>11033000</v>
      </c>
      <c r="P8" s="327">
        <f>K8+1706000+184000</f>
        <v>14629000</v>
      </c>
      <c r="Q8" s="327">
        <v>10142000</v>
      </c>
      <c r="R8" s="300">
        <f>Q8/H8</f>
        <v>0.26030491247882553</v>
      </c>
      <c r="S8" s="301">
        <v>55154000</v>
      </c>
      <c r="T8" s="298">
        <v>7849000</v>
      </c>
      <c r="U8" s="298">
        <v>21581000</v>
      </c>
      <c r="V8" s="298">
        <v>26274000</v>
      </c>
      <c r="W8" s="302">
        <f>Q8/AVERAGE(U8:V8)</f>
        <v>0.42386375509351165</v>
      </c>
      <c r="X8" s="303">
        <f>Q8/((S8+51040000)/2)</f>
        <v>0.19100890822457012</v>
      </c>
      <c r="Y8" s="303">
        <f>E8/K8</f>
        <v>1.148755789308423</v>
      </c>
      <c r="Z8" s="304">
        <v>166.85</v>
      </c>
      <c r="AA8" s="305">
        <v>1130000</v>
      </c>
      <c r="AB8" s="304">
        <v>8.98</v>
      </c>
      <c r="AC8" s="307">
        <f>Z8/AB8</f>
        <v>18.580178173719375</v>
      </c>
      <c r="AD8" s="307">
        <f>Z8/(V8/AA8)</f>
        <v>7.1759343838014766</v>
      </c>
      <c r="AE8" s="300">
        <f>E8/D8</f>
        <v>7.7617275863806456E-2</v>
      </c>
      <c r="AF8" s="308">
        <f>E8/V8</f>
        <v>0.55697647864809319</v>
      </c>
      <c r="AG8" s="309">
        <f>Q8/H8</f>
        <v>0.26030491247882553</v>
      </c>
      <c r="AH8" s="309">
        <f>H8/S8</f>
        <v>0.70642201834862384</v>
      </c>
      <c r="AI8" s="309">
        <f>S8/V8</f>
        <v>2.099185506584456</v>
      </c>
      <c r="AJ8" s="310">
        <f>AG8*AI8*AH8</f>
        <v>0.38600898226383495</v>
      </c>
      <c r="AK8" s="328" t="s">
        <v>312</v>
      </c>
    </row>
    <row r="9" spans="2:37" ht="25" customHeight="1" x14ac:dyDescent="0.25">
      <c r="B9" s="329" t="s">
        <v>313</v>
      </c>
      <c r="C9" s="330">
        <f>AVERAGE(C4:C8)</f>
        <v>446478192.13379991</v>
      </c>
      <c r="D9" s="330">
        <f>AVERAGE(D4:D8)</f>
        <v>432023976.53379995</v>
      </c>
      <c r="E9" s="331"/>
      <c r="F9" s="331"/>
      <c r="G9" s="331"/>
      <c r="H9" s="331"/>
      <c r="I9" s="331"/>
      <c r="J9" s="332">
        <f>AVERAGE(W4:W8)</f>
        <v>6.211912302989301E-2</v>
      </c>
      <c r="K9" s="332"/>
      <c r="L9" s="332"/>
      <c r="M9" s="332">
        <f>AVERAGE(M4:M8)</f>
        <v>0.15078829486275946</v>
      </c>
      <c r="N9" s="332">
        <f>AVERAGE(N4:N8)</f>
        <v>0.15078829486275946</v>
      </c>
      <c r="O9" s="331"/>
      <c r="P9" s="331"/>
      <c r="Q9" s="331"/>
      <c r="R9" s="333">
        <f>AVERAGE(R4:R8)</f>
        <v>-2.5273238608969684E-2</v>
      </c>
      <c r="S9" s="332"/>
      <c r="T9" s="331"/>
      <c r="U9" s="334"/>
      <c r="V9" s="334"/>
      <c r="W9" s="335">
        <f>AVERAGE(W4:W8)</f>
        <v>6.211912302989301E-2</v>
      </c>
      <c r="X9" s="335">
        <f>AVERAGE(X4:X8)</f>
        <v>5.9287163835562988E-4</v>
      </c>
      <c r="Y9" s="335">
        <f>AVERAGE(Y4:Y8)</f>
        <v>2.3199333131454418</v>
      </c>
      <c r="Z9" s="336"/>
      <c r="AA9" s="336"/>
      <c r="AB9" s="337"/>
      <c r="AC9" s="337">
        <f>AVERAGE(AC4:AC8)</f>
        <v>70.560507582657962</v>
      </c>
      <c r="AD9" s="337">
        <f>AVERAGE(AD4:AD8)</f>
        <v>9.3984542241083222</v>
      </c>
      <c r="AE9" s="335">
        <f>AVERAGE(AE4:AE8)</f>
        <v>4.2061870921929992E-2</v>
      </c>
      <c r="AF9" s="338">
        <f>AVERAGE(AF4:AF8)</f>
        <v>0.39764989911489906</v>
      </c>
      <c r="AG9" s="339"/>
      <c r="AH9" s="339"/>
      <c r="AI9" s="339"/>
      <c r="AJ9" s="340"/>
    </row>
    <row r="10" spans="2:37" ht="25" customHeight="1" thickBot="1" x14ac:dyDescent="0.3">
      <c r="B10" s="341" t="s">
        <v>314</v>
      </c>
      <c r="C10" s="342">
        <f>MEDIAN(C4:C8)</f>
        <v>195325500</v>
      </c>
      <c r="D10" s="342">
        <f>MEDIAN(D4:D8)</f>
        <v>188540500</v>
      </c>
      <c r="E10" s="343"/>
      <c r="F10" s="343"/>
      <c r="G10" s="343"/>
      <c r="H10" s="343"/>
      <c r="I10" s="343"/>
      <c r="J10" s="344">
        <f>MEDIAN(W4:W8)</f>
        <v>2.9663238191645125E-2</v>
      </c>
      <c r="K10" s="344"/>
      <c r="L10" s="345"/>
      <c r="M10" s="346">
        <f>MEDIAN(M4:M8)</f>
        <v>0.20391700601124685</v>
      </c>
      <c r="N10" s="346">
        <f>MEDIAN(N4:N8)</f>
        <v>0.20391700601124685</v>
      </c>
      <c r="O10" s="343"/>
      <c r="P10" s="343"/>
      <c r="Q10" s="343"/>
      <c r="R10" s="347">
        <f>MEDIAN(R4:R8)</f>
        <v>6.3641652123327522E-2</v>
      </c>
      <c r="S10" s="344"/>
      <c r="T10" s="343"/>
      <c r="U10" s="348"/>
      <c r="V10" s="348"/>
      <c r="W10" s="349">
        <f>MEDIAN(W4:W8)</f>
        <v>2.9663238191645125E-2</v>
      </c>
      <c r="X10" s="349">
        <f>MEDIAN(X4:X8)</f>
        <v>2.3990175869479408E-2</v>
      </c>
      <c r="Y10" s="349">
        <f>MEDIAN(Y4:Y8)</f>
        <v>1.3847470521110687</v>
      </c>
      <c r="Z10" s="350"/>
      <c r="AA10" s="350"/>
      <c r="AB10" s="351"/>
      <c r="AC10" s="351">
        <f>MEDIAN(AC4:AC8)</f>
        <v>18.580178173719375</v>
      </c>
      <c r="AD10" s="351">
        <f>MEDIAN(AD4:AD8)</f>
        <v>6.1011924736200873</v>
      </c>
      <c r="AE10" s="349">
        <f>MEDIAN(AE4:AE8)</f>
        <v>4.0995718694156941E-2</v>
      </c>
      <c r="AF10" s="352">
        <f>MEDIAN(AF4:AF8)</f>
        <v>0.30265882177701647</v>
      </c>
      <c r="AG10" s="353"/>
      <c r="AH10" s="353"/>
      <c r="AI10" s="353"/>
      <c r="AJ10" s="354"/>
    </row>
    <row r="11" spans="2:37" ht="25" customHeight="1" thickBot="1" x14ac:dyDescent="0.25">
      <c r="B11" s="355" t="s">
        <v>315</v>
      </c>
      <c r="C11" s="356">
        <f>D11+E11-G11</f>
        <v>188675140</v>
      </c>
      <c r="D11" s="357">
        <f>Z11*AA11</f>
        <v>181932140</v>
      </c>
      <c r="E11" s="357">
        <v>13397000</v>
      </c>
      <c r="F11" s="357">
        <v>610000</v>
      </c>
      <c r="G11" s="357">
        <v>6654000</v>
      </c>
      <c r="H11" s="357">
        <v>25111000</v>
      </c>
      <c r="I11" s="357">
        <v>15540000</v>
      </c>
      <c r="J11" s="358">
        <f>(H11-I11)/I11</f>
        <v>0.61589446589446595</v>
      </c>
      <c r="K11" s="357">
        <v>9582000</v>
      </c>
      <c r="L11" s="357">
        <v>2486000</v>
      </c>
      <c r="M11" s="358">
        <f>K11/H11</f>
        <v>0.38158575922902316</v>
      </c>
      <c r="N11" s="358">
        <f>K11/H11</f>
        <v>0.38158575922902316</v>
      </c>
      <c r="O11" s="357">
        <v>1802000</v>
      </c>
      <c r="P11" s="357">
        <f>K11+140000</f>
        <v>9722000</v>
      </c>
      <c r="Q11" s="359">
        <v>778000</v>
      </c>
      <c r="R11" s="358">
        <f>Q11/H11</f>
        <v>3.0982437975389271E-2</v>
      </c>
      <c r="S11" s="357">
        <v>69416000</v>
      </c>
      <c r="T11" s="357">
        <v>7041000</v>
      </c>
      <c r="U11" s="357">
        <v>44120000</v>
      </c>
      <c r="V11" s="357">
        <v>45131000</v>
      </c>
      <c r="W11" s="358">
        <f>Q11/AVERAGE(U11:V11)</f>
        <v>1.7433978330775004E-2</v>
      </c>
      <c r="X11" s="358">
        <f>Q11/((S11+64254000)/2)</f>
        <v>1.1640607466147977E-2</v>
      </c>
      <c r="Y11" s="358">
        <f>E11/K11</f>
        <v>1.3981423502400334</v>
      </c>
      <c r="Z11" s="360">
        <v>162.72999999999999</v>
      </c>
      <c r="AA11" s="361">
        <v>1118000</v>
      </c>
      <c r="AB11" s="360">
        <f>Q11/AA11</f>
        <v>0.69588550983899822</v>
      </c>
      <c r="AC11" s="362" t="s">
        <v>316</v>
      </c>
      <c r="AD11" s="362" t="s">
        <v>317</v>
      </c>
      <c r="AE11" s="358">
        <v>7.3599999999999999E-2</v>
      </c>
      <c r="AF11" s="358">
        <v>0.29680000000000001</v>
      </c>
      <c r="AG11" s="362">
        <v>0.03</v>
      </c>
      <c r="AH11" s="362">
        <v>0.36</v>
      </c>
      <c r="AI11" s="362">
        <v>1.54</v>
      </c>
      <c r="AJ11" s="363">
        <v>1.72E-2</v>
      </c>
    </row>
    <row r="12" spans="2:37" ht="25" customHeight="1" x14ac:dyDescent="0.2">
      <c r="B12" s="364"/>
      <c r="C12" s="365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6"/>
      <c r="Q12" s="366"/>
      <c r="R12" s="366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7"/>
      <c r="AD12" s="364"/>
      <c r="AE12" s="364"/>
      <c r="AF12" s="364"/>
      <c r="AG12" s="364"/>
      <c r="AH12" s="364"/>
      <c r="AI12" s="364"/>
      <c r="AJ12" s="364"/>
    </row>
    <row r="13" spans="2:37" ht="25" customHeight="1" thickBot="1" x14ac:dyDescent="0.3">
      <c r="B13" s="368" t="s">
        <v>318</v>
      </c>
      <c r="C13" s="365"/>
      <c r="D13" s="364"/>
      <c r="E13" s="364"/>
      <c r="F13" s="364"/>
      <c r="G13" s="364"/>
      <c r="H13" s="364" t="s">
        <v>319</v>
      </c>
      <c r="I13" s="364"/>
      <c r="J13" s="364" t="s">
        <v>319</v>
      </c>
      <c r="K13" s="364"/>
      <c r="L13" s="364"/>
      <c r="M13" s="364"/>
      <c r="N13" s="364"/>
      <c r="O13" s="364"/>
      <c r="P13" s="366"/>
      <c r="Q13" s="366"/>
      <c r="R13" s="366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7"/>
      <c r="AD13" s="364"/>
      <c r="AE13" s="364"/>
      <c r="AF13" s="364"/>
      <c r="AG13" s="364"/>
      <c r="AH13" s="364"/>
      <c r="AI13" s="364"/>
      <c r="AJ13" s="364"/>
    </row>
    <row r="14" spans="2:37" ht="25" customHeight="1" thickBot="1" x14ac:dyDescent="0.35">
      <c r="B14" s="369" t="s">
        <v>270</v>
      </c>
      <c r="C14" s="370" t="s">
        <v>271</v>
      </c>
      <c r="D14" s="370" t="s">
        <v>276</v>
      </c>
      <c r="E14" s="371" t="s">
        <v>320</v>
      </c>
      <c r="F14" s="371" t="s">
        <v>321</v>
      </c>
      <c r="G14" s="371" t="s">
        <v>322</v>
      </c>
      <c r="H14" s="371" t="s">
        <v>323</v>
      </c>
      <c r="I14" s="371" t="s">
        <v>324</v>
      </c>
      <c r="J14" s="371" t="s">
        <v>325</v>
      </c>
      <c r="K14" s="371" t="s">
        <v>326</v>
      </c>
      <c r="L14" s="372" t="s">
        <v>295</v>
      </c>
      <c r="M14" s="372" t="s">
        <v>294</v>
      </c>
      <c r="N14" s="371" t="s">
        <v>290</v>
      </c>
      <c r="O14" s="371" t="s">
        <v>257</v>
      </c>
      <c r="P14" s="371" t="s">
        <v>272</v>
      </c>
      <c r="Q14" s="373" t="s">
        <v>227</v>
      </c>
      <c r="R14" s="374" t="s">
        <v>327</v>
      </c>
      <c r="S14" s="375" t="s">
        <v>328</v>
      </c>
      <c r="T14" s="376"/>
      <c r="U14" s="376"/>
      <c r="V14" s="364"/>
      <c r="W14" s="364"/>
      <c r="X14" s="364"/>
      <c r="Y14" s="364"/>
      <c r="Z14" s="364"/>
      <c r="AA14" s="364"/>
      <c r="AB14" s="364"/>
      <c r="AC14" s="367"/>
      <c r="AD14" s="364"/>
      <c r="AE14" s="364"/>
      <c r="AF14" s="364"/>
      <c r="AG14" s="364"/>
      <c r="AH14" s="364"/>
      <c r="AI14" s="364"/>
      <c r="AJ14" s="364"/>
    </row>
    <row r="15" spans="2:37" ht="25" customHeight="1" x14ac:dyDescent="0.2">
      <c r="B15" s="377" t="s">
        <v>305</v>
      </c>
      <c r="C15" s="378">
        <f>C5</f>
        <v>259998749.99999997</v>
      </c>
      <c r="D15" s="379">
        <f>H5</f>
        <v>25785000</v>
      </c>
      <c r="E15" s="380">
        <f>J5</f>
        <v>0.13690476190476192</v>
      </c>
      <c r="F15" s="378">
        <f>K5</f>
        <v>5258000</v>
      </c>
      <c r="G15" s="381">
        <f>M5</f>
        <v>0.20391700601124685</v>
      </c>
      <c r="H15" s="382">
        <f>C5/H5</f>
        <v>10.083333333333332</v>
      </c>
      <c r="I15" s="382">
        <f>C5/O5</f>
        <v>124.93933205189811</v>
      </c>
      <c r="J15" s="382">
        <f>C5/K5</f>
        <v>49.448221757322173</v>
      </c>
      <c r="K15" s="382">
        <f>C5/P5</f>
        <v>48.10337650323774</v>
      </c>
      <c r="L15" s="382">
        <f>AD5</f>
        <v>4.5759455736062407</v>
      </c>
      <c r="M15" s="382">
        <f>AC5</f>
        <v>155.83168316831683</v>
      </c>
      <c r="N15" s="381">
        <f>X5</f>
        <v>2.3990175869479408E-2</v>
      </c>
      <c r="O15" s="381">
        <f>W5</f>
        <v>2.9663238191645125E-2</v>
      </c>
      <c r="P15" s="378">
        <f>D5</f>
        <v>255758749.99999997</v>
      </c>
      <c r="Q15" s="378">
        <f>E5-T5</f>
        <v>2149000</v>
      </c>
      <c r="R15" s="381">
        <f>Y5</f>
        <v>1.3847470521110687</v>
      </c>
      <c r="S15" s="383">
        <f>(E5+F5)/P5</f>
        <v>1.6654949121184088</v>
      </c>
      <c r="T15" s="384"/>
      <c r="U15" s="385"/>
      <c r="V15" s="364"/>
      <c r="W15" s="364"/>
      <c r="X15" s="364"/>
      <c r="Y15" s="364"/>
      <c r="Z15" s="364"/>
      <c r="AA15" s="364"/>
      <c r="AB15" s="364"/>
      <c r="AC15" s="367"/>
    </row>
    <row r="16" spans="2:37" ht="25" customHeight="1" x14ac:dyDescent="0.2">
      <c r="B16" s="386" t="str">
        <f>B6</f>
        <v>Broadcom</v>
      </c>
      <c r="C16" s="387">
        <f>C6</f>
        <v>1706341320</v>
      </c>
      <c r="D16" s="388">
        <f>H6</f>
        <v>51574000</v>
      </c>
      <c r="E16" s="389">
        <f>J6</f>
        <v>0.43985035874815043</v>
      </c>
      <c r="F16" s="387">
        <f>K6</f>
        <v>23879000</v>
      </c>
      <c r="G16" s="390">
        <f>M6</f>
        <v>0.46300461472835147</v>
      </c>
      <c r="H16" s="391">
        <f>C6/H6</f>
        <v>33.085301120719741</v>
      </c>
      <c r="I16" s="391">
        <f>C6/O6</f>
        <v>123.03275794938352</v>
      </c>
      <c r="J16" s="391">
        <f>C6/K6</f>
        <v>71.457821516813937</v>
      </c>
      <c r="K16" s="391">
        <f>C6/P6</f>
        <v>70.902572924457743</v>
      </c>
      <c r="L16" s="391">
        <f>AD6</f>
        <v>24.352423534974438</v>
      </c>
      <c r="M16" s="391">
        <f>AC6</f>
        <v>280.4390243902439</v>
      </c>
      <c r="N16" s="390">
        <f>X6</f>
        <v>4.9432718673744054E-2</v>
      </c>
      <c r="O16" s="390">
        <f>W6</f>
        <v>0.12861911722994349</v>
      </c>
      <c r="P16" s="387">
        <f>D6</f>
        <v>1648123320</v>
      </c>
      <c r="Q16" s="387">
        <f>E6-T6</f>
        <v>67556652</v>
      </c>
      <c r="R16" s="390">
        <f>Y6</f>
        <v>2.8295154738473136</v>
      </c>
      <c r="S16" s="392">
        <f>(E6+F6)/P6</f>
        <v>2.8625862212249649</v>
      </c>
      <c r="T16" s="384"/>
      <c r="U16" s="385"/>
      <c r="V16" s="364"/>
      <c r="W16" s="364"/>
      <c r="X16" s="364"/>
      <c r="Y16" s="364"/>
      <c r="Z16" s="364"/>
      <c r="AA16" s="364"/>
      <c r="AB16" s="364"/>
      <c r="AC16" s="367"/>
    </row>
    <row r="17" spans="2:29" ht="25" customHeight="1" thickBot="1" x14ac:dyDescent="0.25">
      <c r="B17" s="377" t="s">
        <v>311</v>
      </c>
      <c r="C17" s="378">
        <f>C8</f>
        <v>195325500</v>
      </c>
      <c r="D17" s="393">
        <f>H8</f>
        <v>38962000</v>
      </c>
      <c r="E17" s="394">
        <f>J8</f>
        <v>8.7716359575656058E-2</v>
      </c>
      <c r="F17" s="395">
        <f>K8</f>
        <v>12739000</v>
      </c>
      <c r="G17" s="396">
        <f>M8</f>
        <v>0.32695960166315896</v>
      </c>
      <c r="H17" s="382">
        <f>C8/H8</f>
        <v>5.0132308403059387</v>
      </c>
      <c r="I17" s="397">
        <f>C8/O8</f>
        <v>17.703752379225957</v>
      </c>
      <c r="J17" s="397">
        <f>C8/K8</f>
        <v>15.332875421932648</v>
      </c>
      <c r="K17" s="397">
        <f>C8/P8</f>
        <v>13.351937931505914</v>
      </c>
      <c r="L17" s="382">
        <f>AD8</f>
        <v>7.1759343838014766</v>
      </c>
      <c r="M17" s="382">
        <f>AC8</f>
        <v>18.580178173719375</v>
      </c>
      <c r="N17" s="396">
        <f>X8</f>
        <v>0.19100890822457012</v>
      </c>
      <c r="O17" s="396">
        <f>W8</f>
        <v>0.42386375509351165</v>
      </c>
      <c r="P17" s="395">
        <f>D8</f>
        <v>188540500</v>
      </c>
      <c r="Q17" s="378">
        <f>E8-T8</f>
        <v>6785000</v>
      </c>
      <c r="R17" s="381">
        <f>Y8</f>
        <v>1.148755789308423</v>
      </c>
      <c r="S17" s="383">
        <f>(E8+F8)/P8</f>
        <v>1.0494907375760476</v>
      </c>
      <c r="T17" s="384"/>
      <c r="U17" s="385"/>
      <c r="V17" s="364"/>
      <c r="W17" s="364"/>
      <c r="X17" s="364"/>
      <c r="Y17" s="364"/>
      <c r="Z17" s="364"/>
      <c r="AA17" s="364"/>
      <c r="AB17" s="364"/>
      <c r="AC17" s="367"/>
    </row>
    <row r="18" spans="2:29" ht="25" customHeight="1" x14ac:dyDescent="0.2">
      <c r="B18" s="398" t="s">
        <v>313</v>
      </c>
      <c r="C18" s="399">
        <f t="shared" ref="C18:I18" si="0">AVERAGE(C15:C17)</f>
        <v>720555190</v>
      </c>
      <c r="D18" s="399">
        <f t="shared" si="0"/>
        <v>38773666.666666664</v>
      </c>
      <c r="E18" s="400">
        <f t="shared" si="0"/>
        <v>0.22149049340952279</v>
      </c>
      <c r="F18" s="399">
        <f t="shared" si="0"/>
        <v>13958666.666666666</v>
      </c>
      <c r="G18" s="400">
        <f t="shared" si="0"/>
        <v>0.33129374080091906</v>
      </c>
      <c r="H18" s="401">
        <f t="shared" si="0"/>
        <v>16.060621764786337</v>
      </c>
      <c r="I18" s="402">
        <f t="shared" si="0"/>
        <v>88.558614126835849</v>
      </c>
      <c r="J18" s="402">
        <f>AVERAGE(J15,J17)</f>
        <v>32.390548589627414</v>
      </c>
      <c r="K18" s="402">
        <f t="shared" ref="K18:S18" si="1">AVERAGE(K15:K17)</f>
        <v>44.119295786400464</v>
      </c>
      <c r="L18" s="402">
        <f t="shared" si="1"/>
        <v>12.034767830794053</v>
      </c>
      <c r="M18" s="402">
        <f t="shared" si="1"/>
        <v>151.61696191076004</v>
      </c>
      <c r="N18" s="400">
        <f t="shared" si="1"/>
        <v>8.8143934255931186E-2</v>
      </c>
      <c r="O18" s="400">
        <f t="shared" si="1"/>
        <v>0.19404870350503342</v>
      </c>
      <c r="P18" s="399">
        <f t="shared" si="1"/>
        <v>697474190</v>
      </c>
      <c r="Q18" s="399">
        <f t="shared" si="1"/>
        <v>25496884</v>
      </c>
      <c r="R18" s="400">
        <f t="shared" si="1"/>
        <v>1.7876727717556016</v>
      </c>
      <c r="S18" s="403">
        <f t="shared" si="1"/>
        <v>1.8591906236398072</v>
      </c>
      <c r="T18" s="404"/>
      <c r="U18" s="404"/>
      <c r="V18" s="364"/>
      <c r="W18" s="364"/>
      <c r="X18" s="364"/>
      <c r="Y18" s="364"/>
      <c r="Z18" s="364"/>
      <c r="AA18" s="364"/>
      <c r="AB18" s="364"/>
      <c r="AC18" s="367"/>
    </row>
    <row r="19" spans="2:29" ht="25" customHeight="1" thickBot="1" x14ac:dyDescent="0.25">
      <c r="B19" s="405" t="s">
        <v>314</v>
      </c>
      <c r="C19" s="406">
        <f t="shared" ref="C19:S19" si="2">MEDIAN(C15:C17)</f>
        <v>259998749.99999997</v>
      </c>
      <c r="D19" s="406">
        <f t="shared" si="2"/>
        <v>38962000</v>
      </c>
      <c r="E19" s="407">
        <f t="shared" si="2"/>
        <v>0.13690476190476192</v>
      </c>
      <c r="F19" s="406">
        <f t="shared" si="2"/>
        <v>12739000</v>
      </c>
      <c r="G19" s="407">
        <f t="shared" si="2"/>
        <v>0.32695960166315896</v>
      </c>
      <c r="H19" s="408">
        <f t="shared" si="2"/>
        <v>10.083333333333332</v>
      </c>
      <c r="I19" s="409">
        <f t="shared" si="2"/>
        <v>123.03275794938352</v>
      </c>
      <c r="J19" s="409">
        <f t="shared" si="2"/>
        <v>49.448221757322173</v>
      </c>
      <c r="K19" s="409">
        <f t="shared" si="2"/>
        <v>48.10337650323774</v>
      </c>
      <c r="L19" s="409">
        <f t="shared" si="2"/>
        <v>7.1759343838014766</v>
      </c>
      <c r="M19" s="409">
        <f t="shared" si="2"/>
        <v>155.83168316831683</v>
      </c>
      <c r="N19" s="407">
        <f t="shared" si="2"/>
        <v>4.9432718673744054E-2</v>
      </c>
      <c r="O19" s="407">
        <f t="shared" si="2"/>
        <v>0.12861911722994349</v>
      </c>
      <c r="P19" s="406">
        <f t="shared" si="2"/>
        <v>255758749.99999997</v>
      </c>
      <c r="Q19" s="406">
        <f t="shared" si="2"/>
        <v>6785000</v>
      </c>
      <c r="R19" s="407">
        <f t="shared" si="2"/>
        <v>1.3847470521110687</v>
      </c>
      <c r="S19" s="410">
        <f t="shared" si="2"/>
        <v>1.6654949121184088</v>
      </c>
      <c r="T19" s="404"/>
      <c r="U19" s="404"/>
      <c r="V19" s="364"/>
      <c r="W19" s="364"/>
      <c r="X19" s="364"/>
      <c r="Y19" s="364"/>
      <c r="Z19" s="364"/>
      <c r="AA19" s="364"/>
      <c r="AB19" s="364"/>
      <c r="AC19" s="367"/>
    </row>
    <row r="20" spans="2:29" ht="25" customHeight="1" thickBot="1" x14ac:dyDescent="0.25">
      <c r="B20" s="411" t="s">
        <v>315</v>
      </c>
      <c r="C20" s="412">
        <f>C11</f>
        <v>188675140</v>
      </c>
      <c r="D20" s="413">
        <f>H11</f>
        <v>25111000</v>
      </c>
      <c r="E20" s="414">
        <f>J11</f>
        <v>0.61589446589446595</v>
      </c>
      <c r="F20" s="412">
        <f>K11</f>
        <v>9582000</v>
      </c>
      <c r="G20" s="415">
        <f>M11</f>
        <v>0.38158575922902316</v>
      </c>
      <c r="H20" s="416">
        <f>C11/H11</f>
        <v>7.5136450161283896</v>
      </c>
      <c r="I20" s="416">
        <f>C11/O11</f>
        <v>104.70318534961154</v>
      </c>
      <c r="J20" s="416">
        <f>C11/K11</f>
        <v>19.690580254644125</v>
      </c>
      <c r="K20" s="416">
        <f>C11/P11</f>
        <v>19.407029417815263</v>
      </c>
      <c r="L20" s="416" t="str">
        <f>AD11</f>
        <v>4.0x</v>
      </c>
      <c r="M20" s="416" t="str">
        <f>AC11</f>
        <v>233.8x</v>
      </c>
      <c r="N20" s="415">
        <f>X11</f>
        <v>1.1640607466147977E-2</v>
      </c>
      <c r="O20" s="415">
        <f>W11</f>
        <v>1.7433978330775004E-2</v>
      </c>
      <c r="P20" s="412">
        <f>D11</f>
        <v>181932140</v>
      </c>
      <c r="Q20" s="412">
        <f>E11-T11</f>
        <v>6356000</v>
      </c>
      <c r="R20" s="415">
        <f>Y11</f>
        <v>1.3981423502400334</v>
      </c>
      <c r="S20" s="417">
        <f>(E11+F11)/P11</f>
        <v>1.4407529314955771</v>
      </c>
      <c r="T20" s="418"/>
      <c r="U20" s="385"/>
      <c r="V20" s="364"/>
      <c r="W20" s="364"/>
      <c r="X20" s="364"/>
      <c r="Y20" s="364"/>
      <c r="Z20" s="364"/>
      <c r="AA20" s="364"/>
      <c r="AB20" s="364"/>
      <c r="AC20" s="367"/>
    </row>
    <row r="21" spans="2:29" ht="25" customHeight="1" x14ac:dyDescent="0.2">
      <c r="B21" s="364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763B3-8FB1-D142-9575-A52E663E40DD}">
  <dimension ref="B2:I46"/>
  <sheetViews>
    <sheetView workbookViewId="0">
      <selection activeCell="G2" sqref="G2:I19"/>
    </sheetView>
  </sheetViews>
  <sheetFormatPr baseColWidth="10" defaultColWidth="15.83203125" defaultRowHeight="15" x14ac:dyDescent="0.2"/>
  <cols>
    <col min="1" max="16384" width="15.83203125" style="285"/>
  </cols>
  <sheetData>
    <row r="2" spans="2:9" ht="16" x14ac:dyDescent="0.2">
      <c r="B2" s="419" t="s">
        <v>329</v>
      </c>
      <c r="C2" s="420"/>
      <c r="D2" s="420"/>
      <c r="E2" s="421"/>
      <c r="G2" s="422" t="s">
        <v>330</v>
      </c>
      <c r="H2" s="423" t="s">
        <v>331</v>
      </c>
      <c r="I2" s="424" t="s">
        <v>332</v>
      </c>
    </row>
    <row r="3" spans="2:9" ht="16" x14ac:dyDescent="0.2">
      <c r="B3" s="425" t="s">
        <v>333</v>
      </c>
      <c r="C3" s="364"/>
      <c r="D3" s="364"/>
      <c r="E3" s="426"/>
      <c r="G3" s="427">
        <v>45510</v>
      </c>
      <c r="H3" s="428">
        <v>3.5000000000000003E-2</v>
      </c>
      <c r="I3" s="429">
        <v>0.05</v>
      </c>
    </row>
    <row r="4" spans="2:9" ht="16" x14ac:dyDescent="0.2">
      <c r="B4" s="430" t="s">
        <v>334</v>
      </c>
      <c r="C4" s="431" t="s">
        <v>335</v>
      </c>
      <c r="D4" s="431" t="s">
        <v>336</v>
      </c>
      <c r="E4" s="432" t="s">
        <v>219</v>
      </c>
      <c r="G4" s="427">
        <v>45187</v>
      </c>
      <c r="H4" s="428">
        <v>3.5000000000000003E-2</v>
      </c>
      <c r="I4" s="429">
        <v>5.5E-2</v>
      </c>
    </row>
    <row r="5" spans="2:9" ht="16" x14ac:dyDescent="0.2">
      <c r="B5" s="433">
        <v>1</v>
      </c>
      <c r="C5" s="434">
        <v>31090</v>
      </c>
      <c r="D5" s="434">
        <v>1061355</v>
      </c>
      <c r="E5" s="435">
        <v>-2.8E-3</v>
      </c>
      <c r="G5" s="427">
        <v>44658</v>
      </c>
      <c r="H5" s="428">
        <v>3.5000000000000003E-2</v>
      </c>
      <c r="I5" s="429">
        <v>5.5E-2</v>
      </c>
    </row>
    <row r="6" spans="2:9" ht="16" x14ac:dyDescent="0.2">
      <c r="B6" s="433">
        <v>2</v>
      </c>
      <c r="C6" s="434">
        <v>13143</v>
      </c>
      <c r="D6" s="434">
        <v>30543</v>
      </c>
      <c r="E6" s="435">
        <v>5.0000000000000001E-3</v>
      </c>
      <c r="G6" s="427">
        <v>44560</v>
      </c>
      <c r="H6" s="428">
        <v>0.03</v>
      </c>
      <c r="I6" s="429">
        <v>5.5E-2</v>
      </c>
    </row>
    <row r="7" spans="2:9" ht="16" x14ac:dyDescent="0.2">
      <c r="B7" s="433">
        <v>3</v>
      </c>
      <c r="C7" s="434">
        <v>6619</v>
      </c>
      <c r="D7" s="434">
        <v>13100</v>
      </c>
      <c r="E7" s="435">
        <v>7.3000000000000001E-3</v>
      </c>
      <c r="G7" s="427">
        <v>44174</v>
      </c>
      <c r="H7" s="428">
        <v>2.5000000000000001E-2</v>
      </c>
      <c r="I7" s="429">
        <v>5.5E-2</v>
      </c>
    </row>
    <row r="8" spans="2:9" ht="16" x14ac:dyDescent="0.2">
      <c r="B8" s="433">
        <v>4</v>
      </c>
      <c r="C8" s="434">
        <v>4313</v>
      </c>
      <c r="D8" s="434">
        <v>6615</v>
      </c>
      <c r="E8" s="435">
        <v>7.9000000000000008E-3</v>
      </c>
      <c r="G8" s="427">
        <v>44012</v>
      </c>
      <c r="H8" s="428">
        <v>2.5000000000000001E-2</v>
      </c>
      <c r="I8" s="429">
        <v>0.06</v>
      </c>
    </row>
    <row r="9" spans="2:9" ht="16" x14ac:dyDescent="0.2">
      <c r="B9" s="433">
        <v>5</v>
      </c>
      <c r="C9" s="434">
        <v>2689</v>
      </c>
      <c r="D9" s="434">
        <v>4311</v>
      </c>
      <c r="E9" s="435">
        <v>1.0999999999999999E-2</v>
      </c>
      <c r="G9" s="427">
        <v>43915</v>
      </c>
      <c r="H9" s="428">
        <v>0.03</v>
      </c>
      <c r="I9" s="429">
        <v>0.06</v>
      </c>
    </row>
    <row r="10" spans="2:9" ht="16" x14ac:dyDescent="0.2">
      <c r="B10" s="433">
        <v>6</v>
      </c>
      <c r="C10" s="434">
        <v>1670</v>
      </c>
      <c r="D10" s="434">
        <v>2686</v>
      </c>
      <c r="E10" s="435">
        <v>1.34E-2</v>
      </c>
      <c r="G10" s="427">
        <v>43818</v>
      </c>
      <c r="H10" s="428">
        <v>0.03</v>
      </c>
      <c r="I10" s="429">
        <v>0.05</v>
      </c>
    </row>
    <row r="11" spans="2:9" ht="16" x14ac:dyDescent="0.2">
      <c r="B11" s="433">
        <v>7</v>
      </c>
      <c r="C11" s="434">
        <v>994</v>
      </c>
      <c r="D11" s="434">
        <v>1668</v>
      </c>
      <c r="E11" s="435">
        <v>1.47E-2</v>
      </c>
      <c r="G11" s="427">
        <v>43738</v>
      </c>
      <c r="H11" s="428">
        <v>0.03</v>
      </c>
      <c r="I11" s="429">
        <v>5.5E-2</v>
      </c>
    </row>
    <row r="12" spans="2:9" ht="16" x14ac:dyDescent="0.2">
      <c r="B12" s="433">
        <v>8</v>
      </c>
      <c r="C12" s="434">
        <v>516</v>
      </c>
      <c r="D12" s="434">
        <v>993</v>
      </c>
      <c r="E12" s="435">
        <v>1.5900000000000001E-2</v>
      </c>
      <c r="G12" s="427">
        <v>43465</v>
      </c>
      <c r="H12" s="428">
        <v>3.5000000000000003E-2</v>
      </c>
      <c r="I12" s="429">
        <v>5.5E-2</v>
      </c>
    </row>
    <row r="13" spans="2:9" ht="16" x14ac:dyDescent="0.2">
      <c r="B13" s="433">
        <v>9</v>
      </c>
      <c r="C13" s="434">
        <v>230</v>
      </c>
      <c r="D13" s="434">
        <v>515</v>
      </c>
      <c r="E13" s="435">
        <v>2.2200000000000001E-2</v>
      </c>
      <c r="G13" s="427">
        <v>42983</v>
      </c>
      <c r="H13" s="428">
        <v>3.5000000000000003E-2</v>
      </c>
      <c r="I13" s="429">
        <v>0.05</v>
      </c>
    </row>
    <row r="14" spans="2:9" ht="16" x14ac:dyDescent="0.2">
      <c r="B14" s="433" t="s">
        <v>337</v>
      </c>
      <c r="C14" s="434">
        <v>181</v>
      </c>
      <c r="D14" s="434">
        <v>229</v>
      </c>
      <c r="E14" s="435">
        <v>2.69E-2</v>
      </c>
      <c r="G14" s="427">
        <v>42689</v>
      </c>
      <c r="H14" s="428">
        <v>3.5000000000000003E-2</v>
      </c>
      <c r="I14" s="429">
        <v>5.5E-2</v>
      </c>
    </row>
    <row r="15" spans="2:9" ht="16" x14ac:dyDescent="0.2">
      <c r="B15" s="433" t="s">
        <v>338</v>
      </c>
      <c r="C15" s="434">
        <v>121</v>
      </c>
      <c r="D15" s="434">
        <v>181</v>
      </c>
      <c r="E15" s="435">
        <v>4.4200000000000003E-2</v>
      </c>
      <c r="G15" s="427">
        <v>42400</v>
      </c>
      <c r="H15" s="428">
        <v>0.04</v>
      </c>
      <c r="I15" s="429">
        <v>5.5E-2</v>
      </c>
    </row>
    <row r="16" spans="2:9" ht="16" x14ac:dyDescent="0.2">
      <c r="B16" s="433" t="s">
        <v>339</v>
      </c>
      <c r="C16" s="434">
        <v>63</v>
      </c>
      <c r="D16" s="434">
        <v>120</v>
      </c>
      <c r="E16" s="435">
        <v>6.6199999999999995E-2</v>
      </c>
      <c r="G16" s="427">
        <v>42035</v>
      </c>
      <c r="H16" s="428">
        <v>0.04</v>
      </c>
      <c r="I16" s="429">
        <v>0.05</v>
      </c>
    </row>
    <row r="17" spans="2:9" ht="16" x14ac:dyDescent="0.2">
      <c r="B17" s="436" t="s">
        <v>340</v>
      </c>
      <c r="C17" s="437">
        <v>2</v>
      </c>
      <c r="D17" s="437">
        <v>62</v>
      </c>
      <c r="E17" s="438">
        <v>0.1091</v>
      </c>
      <c r="G17" s="427">
        <v>42004</v>
      </c>
      <c r="H17" s="428">
        <v>0.04</v>
      </c>
      <c r="I17" s="429">
        <v>0.05</v>
      </c>
    </row>
    <row r="18" spans="2:9" ht="16" x14ac:dyDescent="0.2">
      <c r="G18" s="427">
        <v>41639</v>
      </c>
      <c r="H18" s="428">
        <v>0.04</v>
      </c>
      <c r="I18" s="429">
        <v>0.05</v>
      </c>
    </row>
    <row r="19" spans="2:9" ht="16" x14ac:dyDescent="0.2">
      <c r="B19" s="439" t="s">
        <v>341</v>
      </c>
      <c r="C19" s="364"/>
      <c r="D19" s="364"/>
      <c r="E19" s="364"/>
      <c r="G19" s="440">
        <v>41274</v>
      </c>
      <c r="H19" s="441">
        <v>0.04</v>
      </c>
      <c r="I19" s="442">
        <v>5.5E-2</v>
      </c>
    </row>
    <row r="20" spans="2:9" ht="16" x14ac:dyDescent="0.2">
      <c r="G20" s="364"/>
      <c r="H20" s="364"/>
      <c r="I20" s="364"/>
    </row>
    <row r="21" spans="2:9" ht="16" x14ac:dyDescent="0.2">
      <c r="G21" s="364" t="s">
        <v>342</v>
      </c>
      <c r="H21" s="364"/>
      <c r="I21" s="364"/>
    </row>
    <row r="22" spans="2:9" ht="16" x14ac:dyDescent="0.2">
      <c r="G22" s="364" t="s">
        <v>343</v>
      </c>
      <c r="H22" s="364"/>
      <c r="I22" s="364"/>
    </row>
    <row r="23" spans="2:9" ht="16" x14ac:dyDescent="0.2">
      <c r="B23" s="364"/>
      <c r="C23" s="364"/>
      <c r="D23" s="364"/>
      <c r="E23" s="364"/>
    </row>
    <row r="24" spans="2:9" ht="16" x14ac:dyDescent="0.2">
      <c r="B24" s="364"/>
      <c r="C24" s="364"/>
      <c r="D24" s="364"/>
      <c r="E24" s="364"/>
    </row>
    <row r="25" spans="2:9" ht="16" x14ac:dyDescent="0.2">
      <c r="B25" s="364"/>
      <c r="C25" s="443"/>
      <c r="D25" s="443"/>
      <c r="E25" s="443"/>
    </row>
    <row r="26" spans="2:9" ht="16" x14ac:dyDescent="0.2">
      <c r="B26" s="364"/>
      <c r="C26" s="444"/>
      <c r="D26" s="444"/>
      <c r="E26" s="444"/>
    </row>
    <row r="27" spans="2:9" ht="16" x14ac:dyDescent="0.2">
      <c r="B27" s="364"/>
      <c r="C27" s="445"/>
      <c r="D27" s="446"/>
      <c r="E27" s="446"/>
    </row>
    <row r="28" spans="2:9" ht="16" x14ac:dyDescent="0.2">
      <c r="B28" s="364"/>
      <c r="C28" s="445"/>
      <c r="D28" s="446"/>
      <c r="E28" s="446"/>
    </row>
    <row r="29" spans="2:9" ht="16" x14ac:dyDescent="0.2">
      <c r="C29" s="445"/>
      <c r="D29" s="446"/>
      <c r="E29" s="446"/>
    </row>
    <row r="30" spans="2:9" ht="16" x14ac:dyDescent="0.2">
      <c r="C30" s="445"/>
      <c r="D30" s="446"/>
      <c r="E30" s="446"/>
    </row>
    <row r="31" spans="2:9" ht="16" x14ac:dyDescent="0.2">
      <c r="C31" s="445"/>
      <c r="D31" s="446"/>
      <c r="E31" s="446"/>
    </row>
    <row r="32" spans="2:9" ht="16" x14ac:dyDescent="0.2">
      <c r="C32" s="445"/>
      <c r="D32" s="446"/>
      <c r="E32" s="446"/>
    </row>
    <row r="33" spans="3:5" ht="16" x14ac:dyDescent="0.2">
      <c r="C33" s="445"/>
      <c r="D33" s="446"/>
      <c r="E33" s="446"/>
    </row>
    <row r="34" spans="3:5" ht="16" x14ac:dyDescent="0.2">
      <c r="C34" s="445"/>
      <c r="D34" s="446"/>
      <c r="E34" s="446"/>
    </row>
    <row r="35" spans="3:5" ht="16" x14ac:dyDescent="0.2">
      <c r="C35" s="445"/>
      <c r="D35" s="446"/>
      <c r="E35" s="446"/>
    </row>
    <row r="36" spans="3:5" ht="16" x14ac:dyDescent="0.2">
      <c r="C36" s="445"/>
      <c r="D36" s="446"/>
      <c r="E36" s="446"/>
    </row>
    <row r="37" spans="3:5" ht="16" x14ac:dyDescent="0.2">
      <c r="C37" s="445"/>
      <c r="D37" s="446"/>
      <c r="E37" s="446"/>
    </row>
    <row r="38" spans="3:5" ht="16" x14ac:dyDescent="0.2">
      <c r="C38" s="445"/>
      <c r="D38" s="446"/>
      <c r="E38" s="446"/>
    </row>
    <row r="39" spans="3:5" ht="16" x14ac:dyDescent="0.2">
      <c r="C39" s="445"/>
      <c r="D39" s="446"/>
      <c r="E39" s="446"/>
    </row>
    <row r="40" spans="3:5" ht="16" x14ac:dyDescent="0.2">
      <c r="C40" s="445"/>
      <c r="D40" s="446"/>
      <c r="E40" s="446"/>
    </row>
    <row r="41" spans="3:5" ht="16" x14ac:dyDescent="0.2">
      <c r="C41" s="445"/>
      <c r="D41" s="446"/>
      <c r="E41" s="446"/>
    </row>
    <row r="42" spans="3:5" ht="16" x14ac:dyDescent="0.2">
      <c r="C42" s="445"/>
      <c r="D42" s="446"/>
      <c r="E42" s="446"/>
    </row>
    <row r="43" spans="3:5" ht="16" x14ac:dyDescent="0.2">
      <c r="C43" s="445"/>
      <c r="D43" s="446"/>
      <c r="E43" s="446"/>
    </row>
    <row r="44" spans="3:5" ht="16" x14ac:dyDescent="0.2">
      <c r="C44" s="443"/>
      <c r="D44" s="443"/>
      <c r="E44" s="443"/>
    </row>
    <row r="45" spans="3:5" ht="16" x14ac:dyDescent="0.2">
      <c r="C45" s="443"/>
      <c r="D45" s="443"/>
      <c r="E45" s="443"/>
    </row>
    <row r="46" spans="3:5" ht="16" x14ac:dyDescent="0.2">
      <c r="C46" s="443"/>
      <c r="D46" s="443"/>
      <c r="E46" s="4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F21A-81A3-844A-A151-E017B5FB0D4B}">
  <dimension ref="B1:H18"/>
  <sheetViews>
    <sheetView tabSelected="1" zoomScale="92" workbookViewId="0">
      <selection activeCell="N1" sqref="N1"/>
    </sheetView>
  </sheetViews>
  <sheetFormatPr baseColWidth="10" defaultRowHeight="16" x14ac:dyDescent="0.2"/>
  <cols>
    <col min="2" max="2" width="23.5" customWidth="1"/>
    <col min="5" max="5" width="14.1640625" customWidth="1"/>
  </cols>
  <sheetData>
    <row r="1" spans="2:8" ht="17" thickBot="1" x14ac:dyDescent="0.25"/>
    <row r="2" spans="2:8" ht="17" thickBot="1" x14ac:dyDescent="0.25">
      <c r="B2" s="726" t="s">
        <v>426</v>
      </c>
      <c r="C2" s="727">
        <v>0.02</v>
      </c>
      <c r="D2" s="727">
        <v>2.2499999999999999E-2</v>
      </c>
      <c r="E2" s="727">
        <v>2.5000000000000001E-2</v>
      </c>
      <c r="F2" s="727">
        <v>2.75E-2</v>
      </c>
      <c r="G2" s="727">
        <v>0.03</v>
      </c>
      <c r="H2" s="728">
        <v>3.2500000000000001E-2</v>
      </c>
    </row>
    <row r="3" spans="2:8" x14ac:dyDescent="0.2">
      <c r="B3" s="720">
        <v>0.105</v>
      </c>
      <c r="C3" s="721">
        <v>435.72</v>
      </c>
      <c r="D3" s="721">
        <v>436.64</v>
      </c>
      <c r="E3" s="721">
        <v>437.62</v>
      </c>
      <c r="F3" s="721">
        <v>438.67</v>
      </c>
      <c r="G3" s="721">
        <v>439.79</v>
      </c>
      <c r="H3" s="722">
        <v>440.98</v>
      </c>
    </row>
    <row r="4" spans="2:8" x14ac:dyDescent="0.2">
      <c r="B4" s="725">
        <v>0.11</v>
      </c>
      <c r="C4" s="510">
        <v>417.35</v>
      </c>
      <c r="D4" s="510">
        <v>418.13</v>
      </c>
      <c r="E4" s="510">
        <v>418.95</v>
      </c>
      <c r="F4" s="510">
        <v>419.83</v>
      </c>
      <c r="G4" s="510">
        <v>420.78</v>
      </c>
      <c r="H4" s="492">
        <v>421.75</v>
      </c>
    </row>
    <row r="5" spans="2:8" x14ac:dyDescent="0.2">
      <c r="B5" s="720">
        <v>0.115</v>
      </c>
      <c r="C5" s="721">
        <v>400.21</v>
      </c>
      <c r="D5" s="721">
        <v>400.86</v>
      </c>
      <c r="E5" s="721">
        <v>401.56</v>
      </c>
      <c r="F5" s="721">
        <v>402.29</v>
      </c>
      <c r="G5" s="721">
        <v>403.07</v>
      </c>
      <c r="H5" s="722">
        <v>403.9</v>
      </c>
    </row>
    <row r="6" spans="2:8" x14ac:dyDescent="0.2">
      <c r="B6" s="725">
        <v>0.12</v>
      </c>
      <c r="C6" s="510">
        <v>384.17</v>
      </c>
      <c r="D6" s="510">
        <v>384.7</v>
      </c>
      <c r="E6" s="510">
        <v>385.32</v>
      </c>
      <c r="F6" s="510">
        <v>385.94</v>
      </c>
      <c r="G6" s="510">
        <v>386.6</v>
      </c>
      <c r="H6" s="492">
        <v>387.29</v>
      </c>
    </row>
    <row r="7" spans="2:8" x14ac:dyDescent="0.2">
      <c r="B7" s="720">
        <v>0.123</v>
      </c>
      <c r="C7" s="721">
        <v>370.05</v>
      </c>
      <c r="D7" s="721">
        <v>375.36</v>
      </c>
      <c r="E7" s="721">
        <v>376.1</v>
      </c>
      <c r="F7" s="723">
        <v>376.77</v>
      </c>
      <c r="G7" s="721">
        <v>372.25</v>
      </c>
      <c r="H7" s="722">
        <v>372.89</v>
      </c>
    </row>
    <row r="8" spans="2:8" x14ac:dyDescent="0.2">
      <c r="B8" s="725">
        <v>0.125</v>
      </c>
      <c r="C8" s="510">
        <v>369.16</v>
      </c>
      <c r="D8" s="510">
        <v>369.64</v>
      </c>
      <c r="E8" s="510">
        <v>370.15</v>
      </c>
      <c r="F8" s="510">
        <v>370.67</v>
      </c>
      <c r="G8" s="510">
        <v>372.23</v>
      </c>
      <c r="H8" s="492">
        <v>371.82</v>
      </c>
    </row>
    <row r="9" spans="2:8" x14ac:dyDescent="0.2">
      <c r="B9" s="720">
        <v>0.13</v>
      </c>
      <c r="C9" s="721">
        <v>355.1</v>
      </c>
      <c r="D9" s="721">
        <v>355.51</v>
      </c>
      <c r="E9" s="721">
        <v>358.94</v>
      </c>
      <c r="F9" s="721">
        <v>356.39</v>
      </c>
      <c r="G9" s="721">
        <v>356.86</v>
      </c>
      <c r="H9" s="722">
        <v>357.8</v>
      </c>
    </row>
    <row r="10" spans="2:8" ht="17" thickBot="1" x14ac:dyDescent="0.25">
      <c r="B10" s="724">
        <v>0.13500000000000001</v>
      </c>
      <c r="C10" s="493">
        <v>341.91</v>
      </c>
      <c r="D10" s="493">
        <v>342.6</v>
      </c>
      <c r="E10" s="493">
        <v>342.63</v>
      </c>
      <c r="F10" s="493">
        <v>343.02</v>
      </c>
      <c r="G10" s="493">
        <v>343.42</v>
      </c>
      <c r="H10" s="494">
        <v>343.85</v>
      </c>
    </row>
    <row r="11" spans="2:8" ht="17" thickBot="1" x14ac:dyDescent="0.25"/>
    <row r="12" spans="2:8" ht="17" thickBot="1" x14ac:dyDescent="0.25">
      <c r="B12" s="712" t="s">
        <v>425</v>
      </c>
      <c r="C12" s="713">
        <v>0.105</v>
      </c>
      <c r="D12" s="713">
        <v>0.11</v>
      </c>
      <c r="E12" s="713">
        <v>0.115</v>
      </c>
      <c r="F12" s="713">
        <v>0.12</v>
      </c>
      <c r="G12" s="713">
        <v>0.125</v>
      </c>
      <c r="H12" s="714">
        <v>0.13</v>
      </c>
    </row>
    <row r="13" spans="2:8" x14ac:dyDescent="0.2">
      <c r="B13" s="715">
        <v>0.45</v>
      </c>
      <c r="C13" s="716">
        <v>454.91</v>
      </c>
      <c r="D13" s="716">
        <v>445.73</v>
      </c>
      <c r="E13" s="716">
        <v>398.25</v>
      </c>
      <c r="F13" s="716">
        <v>381.06</v>
      </c>
      <c r="G13" s="716">
        <v>366.74</v>
      </c>
      <c r="H13" s="717">
        <v>352.51</v>
      </c>
    </row>
    <row r="14" spans="2:8" x14ac:dyDescent="0.2">
      <c r="B14" s="718">
        <v>0.48</v>
      </c>
      <c r="C14" s="483">
        <v>455.89</v>
      </c>
      <c r="D14" s="483">
        <v>435.83</v>
      </c>
      <c r="E14" s="483">
        <v>417.16</v>
      </c>
      <c r="F14" s="483">
        <v>399.76</v>
      </c>
      <c r="G14" s="483">
        <v>383.6</v>
      </c>
      <c r="H14" s="497">
        <v>368.31</v>
      </c>
    </row>
    <row r="15" spans="2:8" x14ac:dyDescent="0.2">
      <c r="B15" s="715">
        <v>0.5</v>
      </c>
      <c r="C15" s="716">
        <v>470.14</v>
      </c>
      <c r="D15" s="716">
        <v>449.23</v>
      </c>
      <c r="E15" s="716">
        <v>429.77</v>
      </c>
      <c r="F15" s="716">
        <v>411.62</v>
      </c>
      <c r="G15" s="716">
        <v>394.68</v>
      </c>
      <c r="H15" s="717">
        <v>378.83</v>
      </c>
    </row>
    <row r="16" spans="2:8" x14ac:dyDescent="0.2">
      <c r="B16" s="718">
        <v>0.52500000000000002</v>
      </c>
      <c r="C16" s="483">
        <v>487.96</v>
      </c>
      <c r="D16" s="483">
        <v>465.98</v>
      </c>
      <c r="E16" s="483">
        <v>445.53</v>
      </c>
      <c r="F16" s="483">
        <v>426.46</v>
      </c>
      <c r="G16" s="483">
        <v>408.65</v>
      </c>
      <c r="H16" s="497">
        <v>391.99</v>
      </c>
    </row>
    <row r="17" spans="2:8" x14ac:dyDescent="0.2">
      <c r="B17" s="715">
        <v>0.55000000000000004</v>
      </c>
      <c r="C17" s="716">
        <v>506.78</v>
      </c>
      <c r="D17" s="716">
        <v>482.73</v>
      </c>
      <c r="E17" s="716">
        <v>461.29</v>
      </c>
      <c r="F17" s="716">
        <v>441.29</v>
      </c>
      <c r="G17" s="716">
        <v>422.62</v>
      </c>
      <c r="H17" s="717">
        <v>405.16</v>
      </c>
    </row>
    <row r="18" spans="2:8" ht="17" thickBot="1" x14ac:dyDescent="0.25">
      <c r="B18" s="719">
        <v>0.57499999999999996</v>
      </c>
      <c r="C18" s="498">
        <v>523.59</v>
      </c>
      <c r="D18" s="498">
        <v>499.48</v>
      </c>
      <c r="E18" s="498">
        <v>477.04</v>
      </c>
      <c r="F18" s="498">
        <v>456.13</v>
      </c>
      <c r="G18" s="498">
        <v>436.59</v>
      </c>
      <c r="H18" s="499">
        <v>418.32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BFF3-9D9D-A543-AA4A-02CEFF9E4B83}">
  <dimension ref="B1:L59"/>
  <sheetViews>
    <sheetView topLeftCell="A29" zoomScale="75" workbookViewId="0">
      <selection activeCell="B43" sqref="B43:H59"/>
    </sheetView>
  </sheetViews>
  <sheetFormatPr baseColWidth="10" defaultColWidth="22.83203125" defaultRowHeight="22" customHeight="1" x14ac:dyDescent="0.2"/>
  <cols>
    <col min="2" max="2" width="29.83203125" customWidth="1"/>
    <col min="10" max="10" width="27.5" customWidth="1"/>
  </cols>
  <sheetData>
    <row r="1" spans="2:10" ht="22" customHeight="1" thickBot="1" x14ac:dyDescent="0.25"/>
    <row r="2" spans="2:10" ht="22" customHeight="1" x14ac:dyDescent="0.25">
      <c r="B2" s="548" t="s">
        <v>455</v>
      </c>
      <c r="C2" s="549" t="s">
        <v>303</v>
      </c>
      <c r="D2" s="549" t="s">
        <v>305</v>
      </c>
      <c r="E2" s="549" t="s">
        <v>307</v>
      </c>
      <c r="F2" s="549" t="s">
        <v>309</v>
      </c>
      <c r="G2" s="549" t="s">
        <v>311</v>
      </c>
      <c r="H2" s="550" t="s">
        <v>313</v>
      </c>
      <c r="I2" s="551" t="s">
        <v>314</v>
      </c>
      <c r="J2" s="552" t="s">
        <v>315</v>
      </c>
    </row>
    <row r="3" spans="2:10" ht="22" customHeight="1" x14ac:dyDescent="0.25">
      <c r="B3" s="553" t="s">
        <v>271</v>
      </c>
      <c r="C3" s="554">
        <f>C4+C5-C7</f>
        <v>3280660.6690000007</v>
      </c>
      <c r="D3" s="554">
        <f>D4+D5-D7</f>
        <v>259998749.99999997</v>
      </c>
      <c r="E3" s="554">
        <f>E4+E5-E7</f>
        <v>1706341320</v>
      </c>
      <c r="F3" s="554">
        <f>F4+F5-F7</f>
        <v>67444730</v>
      </c>
      <c r="G3" s="554">
        <f>G4+G5-G7</f>
        <v>195325500</v>
      </c>
      <c r="H3" s="646">
        <f>AVERAGE(C3:G3)</f>
        <v>446478192.13379991</v>
      </c>
      <c r="I3" s="647">
        <f>MEDIAN(C3:G3)</f>
        <v>195325500</v>
      </c>
      <c r="J3" s="555">
        <f>J4+J5-J7</f>
        <v>188675140</v>
      </c>
    </row>
    <row r="4" spans="2:10" ht="22" customHeight="1" x14ac:dyDescent="0.25">
      <c r="B4" s="556" t="s">
        <v>427</v>
      </c>
      <c r="C4" s="557">
        <f>C26*C27</f>
        <v>3425282.6690000007</v>
      </c>
      <c r="D4" s="557">
        <f>D26*D27</f>
        <v>255758749.99999997</v>
      </c>
      <c r="E4" s="557">
        <f>E26*E27</f>
        <v>1648123320</v>
      </c>
      <c r="F4" s="557">
        <f>F26*F27</f>
        <v>64272030.000000007</v>
      </c>
      <c r="G4" s="557">
        <f>G26*G27</f>
        <v>188540500</v>
      </c>
      <c r="H4" s="648">
        <f>AVERAGE(C4:G4)</f>
        <v>432023976.53379995</v>
      </c>
      <c r="I4" s="649">
        <f>MEDIAN(C4:G4)</f>
        <v>188540500</v>
      </c>
      <c r="J4" s="558">
        <f>J26*J27</f>
        <v>181932140</v>
      </c>
    </row>
    <row r="5" spans="2:10" ht="22" customHeight="1" x14ac:dyDescent="0.25">
      <c r="B5" s="559" t="s">
        <v>273</v>
      </c>
      <c r="C5" s="560">
        <v>0</v>
      </c>
      <c r="D5" s="560">
        <v>7281000</v>
      </c>
      <c r="E5" s="560">
        <v>67566000</v>
      </c>
      <c r="F5" s="560">
        <v>4063800</v>
      </c>
      <c r="G5" s="560">
        <v>14634000</v>
      </c>
      <c r="H5" s="650"/>
      <c r="I5" s="651"/>
      <c r="J5" s="561">
        <v>13397000</v>
      </c>
    </row>
    <row r="6" spans="2:10" ht="22" customHeight="1" x14ac:dyDescent="0.25">
      <c r="B6" s="562" t="s">
        <v>428</v>
      </c>
      <c r="C6" s="563">
        <v>5265</v>
      </c>
      <c r="D6" s="563">
        <v>1721000</v>
      </c>
      <c r="E6" s="563">
        <v>1325000</v>
      </c>
      <c r="F6" s="563">
        <v>80900</v>
      </c>
      <c r="G6" s="563">
        <v>719000</v>
      </c>
      <c r="H6" s="652"/>
      <c r="I6" s="653"/>
      <c r="J6" s="564">
        <v>610000</v>
      </c>
    </row>
    <row r="7" spans="2:10" ht="22" customHeight="1" x14ac:dyDescent="0.25">
      <c r="B7" s="559" t="s">
        <v>429</v>
      </c>
      <c r="C7" s="560">
        <v>144622</v>
      </c>
      <c r="D7" s="560">
        <v>3041000</v>
      </c>
      <c r="E7" s="560">
        <v>9348000</v>
      </c>
      <c r="F7" s="560">
        <v>891100</v>
      </c>
      <c r="G7" s="560">
        <v>7849000</v>
      </c>
      <c r="H7" s="650"/>
      <c r="I7" s="651"/>
      <c r="J7" s="561">
        <v>6654000</v>
      </c>
    </row>
    <row r="8" spans="2:10" ht="22" customHeight="1" x14ac:dyDescent="0.25">
      <c r="B8" s="562" t="s">
        <v>430</v>
      </c>
      <c r="C8" s="563">
        <v>284865</v>
      </c>
      <c r="D8" s="563">
        <v>25785000</v>
      </c>
      <c r="E8" s="563">
        <v>51574000</v>
      </c>
      <c r="F8" s="563">
        <v>5767300</v>
      </c>
      <c r="G8" s="563">
        <v>38962000</v>
      </c>
      <c r="H8" s="652"/>
      <c r="I8" s="653"/>
      <c r="J8" s="564">
        <v>25111000</v>
      </c>
    </row>
    <row r="9" spans="2:10" ht="22" customHeight="1" x14ac:dyDescent="0.25">
      <c r="B9" s="559" t="s">
        <v>431</v>
      </c>
      <c r="C9" s="560">
        <v>226474</v>
      </c>
      <c r="D9" s="560">
        <v>22680000</v>
      </c>
      <c r="E9" s="560">
        <v>35819000</v>
      </c>
      <c r="F9" s="565">
        <v>5507700</v>
      </c>
      <c r="G9" s="560">
        <v>35820000</v>
      </c>
      <c r="H9" s="650"/>
      <c r="I9" s="651"/>
      <c r="J9" s="561">
        <v>15540000</v>
      </c>
    </row>
    <row r="10" spans="2:10" ht="22" customHeight="1" x14ac:dyDescent="0.25">
      <c r="B10" s="566" t="s">
        <v>432</v>
      </c>
      <c r="C10" s="631">
        <f>(C8-C9)/C9</f>
        <v>0.25782650547082669</v>
      </c>
      <c r="D10" s="631">
        <f>(D8-D9)/D9</f>
        <v>0.13690476190476192</v>
      </c>
      <c r="E10" s="631">
        <f>(E8-E9)/E9</f>
        <v>0.43985035874815043</v>
      </c>
      <c r="F10" s="631">
        <f>(F8-F9)/F9</f>
        <v>4.7134012382664271E-2</v>
      </c>
      <c r="G10" s="631">
        <f>(G8-G9)/G9</f>
        <v>8.7716359575656058E-2</v>
      </c>
      <c r="H10" s="654">
        <f>AVERAGE(C23:G23)</f>
        <v>6.211912302989301E-2</v>
      </c>
      <c r="I10" s="655">
        <f>MEDIAN(C23:G23)</f>
        <v>2.9663238191645125E-2</v>
      </c>
      <c r="J10" s="567">
        <f>(J8-J9)/J9</f>
        <v>0.61589446589446595</v>
      </c>
    </row>
    <row r="11" spans="2:10" ht="22" customHeight="1" x14ac:dyDescent="0.25">
      <c r="B11" s="559" t="s">
        <v>279</v>
      </c>
      <c r="C11" s="640">
        <v>-100535</v>
      </c>
      <c r="D11" s="640">
        <v>5258000</v>
      </c>
      <c r="E11" s="640">
        <v>23879000</v>
      </c>
      <c r="F11" s="640">
        <v>651600</v>
      </c>
      <c r="G11" s="640">
        <v>12739000</v>
      </c>
      <c r="H11" s="656"/>
      <c r="I11" s="657"/>
      <c r="J11" s="561">
        <v>9582000</v>
      </c>
    </row>
    <row r="12" spans="2:10" ht="22" customHeight="1" x14ac:dyDescent="0.25">
      <c r="B12" s="562" t="s">
        <v>280</v>
      </c>
      <c r="C12" s="563">
        <v>-129747</v>
      </c>
      <c r="D12" s="563">
        <v>4149000</v>
      </c>
      <c r="E12" s="563">
        <v>20554000</v>
      </c>
      <c r="F12" s="563">
        <v>850700</v>
      </c>
      <c r="G12" s="563">
        <v>9946000</v>
      </c>
      <c r="H12" s="658"/>
      <c r="I12" s="659"/>
      <c r="J12" s="564">
        <v>2486000</v>
      </c>
    </row>
    <row r="13" spans="2:10" ht="22" customHeight="1" x14ac:dyDescent="0.25">
      <c r="B13" s="553" t="s">
        <v>433</v>
      </c>
      <c r="C13" s="641">
        <f>C11/C8</f>
        <v>-0.35292155933512365</v>
      </c>
      <c r="D13" s="641">
        <f>D11/D8</f>
        <v>0.20391700601124685</v>
      </c>
      <c r="E13" s="641">
        <f>E11/E8</f>
        <v>0.46300461472835147</v>
      </c>
      <c r="F13" s="641">
        <f>F11/F8</f>
        <v>0.11298181124616372</v>
      </c>
      <c r="G13" s="641">
        <f>G11/G8</f>
        <v>0.32695960166315896</v>
      </c>
      <c r="H13" s="660">
        <f>AVERAGE(C13:G13)</f>
        <v>0.15078829486275946</v>
      </c>
      <c r="I13" s="661">
        <f>MEDIAN(C13:G13)</f>
        <v>0.20391700601124685</v>
      </c>
      <c r="J13" s="569">
        <f>J11/J8</f>
        <v>0.38158575922902316</v>
      </c>
    </row>
    <row r="14" spans="2:10" ht="22" customHeight="1" x14ac:dyDescent="0.25">
      <c r="B14" s="556" t="s">
        <v>454</v>
      </c>
      <c r="C14" s="632">
        <f>C11/C8</f>
        <v>-0.35292155933512365</v>
      </c>
      <c r="D14" s="632">
        <f>D11/D8</f>
        <v>0.20391700601124685</v>
      </c>
      <c r="E14" s="632">
        <f>E11/E8</f>
        <v>0.46300461472835147</v>
      </c>
      <c r="F14" s="632">
        <f>F11/F8</f>
        <v>0.11298181124616372</v>
      </c>
      <c r="G14" s="632">
        <f>G11/G8</f>
        <v>0.32695960166315896</v>
      </c>
      <c r="H14" s="662">
        <f>AVERAGE(C14:G14)</f>
        <v>0.15078829486275946</v>
      </c>
      <c r="I14" s="663">
        <f>MEDIAN(C14:G14)</f>
        <v>0.20391700601124685</v>
      </c>
      <c r="J14" s="570">
        <f>J11/J8</f>
        <v>0.38158575922902316</v>
      </c>
    </row>
    <row r="15" spans="2:10" ht="22" customHeight="1" x14ac:dyDescent="0.25">
      <c r="B15" s="559" t="s">
        <v>282</v>
      </c>
      <c r="C15" s="640">
        <v>-126595</v>
      </c>
      <c r="D15" s="640">
        <v>2081000</v>
      </c>
      <c r="E15" s="640">
        <v>13869000</v>
      </c>
      <c r="F15" s="640">
        <v>-705300</v>
      </c>
      <c r="G15" s="640">
        <v>11033000</v>
      </c>
      <c r="H15" s="650"/>
      <c r="I15" s="651"/>
      <c r="J15" s="561">
        <v>1802000</v>
      </c>
    </row>
    <row r="16" spans="2:10" ht="22" customHeight="1" x14ac:dyDescent="0.25">
      <c r="B16" s="562" t="s">
        <v>283</v>
      </c>
      <c r="C16" s="563">
        <f>C15+26060+3800</f>
        <v>-96735</v>
      </c>
      <c r="D16" s="571">
        <f>D11+147000</f>
        <v>5405000</v>
      </c>
      <c r="E16" s="563">
        <f>E11+187000</f>
        <v>24066000</v>
      </c>
      <c r="F16" s="563">
        <f>F11+58200</f>
        <v>709800</v>
      </c>
      <c r="G16" s="563">
        <f>G11+1706000+184000</f>
        <v>14629000</v>
      </c>
      <c r="H16" s="652"/>
      <c r="I16" s="653"/>
      <c r="J16" s="564">
        <f>J11+140000</f>
        <v>9722000</v>
      </c>
    </row>
    <row r="17" spans="2:12" ht="22" customHeight="1" x14ac:dyDescent="0.25">
      <c r="B17" s="559" t="s">
        <v>434</v>
      </c>
      <c r="C17" s="560">
        <v>-117126</v>
      </c>
      <c r="D17" s="560">
        <v>1641000</v>
      </c>
      <c r="E17" s="560">
        <v>5895000</v>
      </c>
      <c r="F17" s="560">
        <v>-885000</v>
      </c>
      <c r="G17" s="560">
        <v>10142000</v>
      </c>
      <c r="H17" s="650"/>
      <c r="I17" s="651"/>
      <c r="J17" s="572">
        <v>778000</v>
      </c>
      <c r="L17" s="475"/>
    </row>
    <row r="18" spans="2:12" ht="22" customHeight="1" x14ac:dyDescent="0.25">
      <c r="B18" s="566" t="s">
        <v>435</v>
      </c>
      <c r="C18" s="631">
        <f>C17/C8</f>
        <v>-0.4111631825601601</v>
      </c>
      <c r="D18" s="631">
        <f>D17/D8</f>
        <v>6.3641652123327522E-2</v>
      </c>
      <c r="E18" s="631">
        <f>E17/E8</f>
        <v>0.11430177996664986</v>
      </c>
      <c r="F18" s="631">
        <f>F17/F8</f>
        <v>-0.15345135505349122</v>
      </c>
      <c r="G18" s="631">
        <f>G17/G8</f>
        <v>0.26030491247882553</v>
      </c>
      <c r="H18" s="664">
        <f>AVERAGE(C18:G18)</f>
        <v>-2.5273238608969684E-2</v>
      </c>
      <c r="I18" s="665">
        <f>MEDIAN(C18:G18)</f>
        <v>6.3641652123327522E-2</v>
      </c>
      <c r="J18" s="567">
        <f>J17/J8</f>
        <v>3.0982437975389271E-2</v>
      </c>
    </row>
    <row r="19" spans="2:12" ht="22" customHeight="1" x14ac:dyDescent="0.25">
      <c r="B19" s="559" t="s">
        <v>436</v>
      </c>
      <c r="C19" s="633">
        <v>688968</v>
      </c>
      <c r="D19" s="633">
        <v>69226000</v>
      </c>
      <c r="E19" s="633">
        <v>165645000</v>
      </c>
      <c r="F19" s="633">
        <v>20204500</v>
      </c>
      <c r="G19" s="633">
        <v>55154000</v>
      </c>
      <c r="H19" s="666"/>
      <c r="I19" s="667"/>
      <c r="J19" s="634">
        <v>69416000</v>
      </c>
    </row>
    <row r="20" spans="2:12" ht="22" customHeight="1" x14ac:dyDescent="0.25">
      <c r="B20" s="562" t="s">
        <v>437</v>
      </c>
      <c r="C20" s="563">
        <v>250265</v>
      </c>
      <c r="D20" s="571">
        <v>5132000</v>
      </c>
      <c r="E20" s="563">
        <v>9348</v>
      </c>
      <c r="F20" s="563">
        <v>948300</v>
      </c>
      <c r="G20" s="563">
        <v>7849000</v>
      </c>
      <c r="H20" s="652"/>
      <c r="I20" s="653"/>
      <c r="J20" s="564">
        <v>7041000</v>
      </c>
    </row>
    <row r="21" spans="2:12" ht="22" customHeight="1" x14ac:dyDescent="0.25">
      <c r="B21" s="559" t="s">
        <v>438</v>
      </c>
      <c r="C21" s="560">
        <v>559871</v>
      </c>
      <c r="D21" s="573">
        <v>54750000</v>
      </c>
      <c r="E21" s="560">
        <v>23988000</v>
      </c>
      <c r="F21" s="560">
        <v>14831400</v>
      </c>
      <c r="G21" s="560">
        <v>21581000</v>
      </c>
      <c r="H21" s="650"/>
      <c r="I21" s="651"/>
      <c r="J21" s="561">
        <v>44120000</v>
      </c>
    </row>
    <row r="22" spans="2:12" ht="22" customHeight="1" x14ac:dyDescent="0.25">
      <c r="B22" s="562" t="s">
        <v>439</v>
      </c>
      <c r="C22" s="563">
        <v>561412</v>
      </c>
      <c r="D22" s="563">
        <v>55892000</v>
      </c>
      <c r="E22" s="563">
        <v>67678000</v>
      </c>
      <c r="F22" s="563">
        <v>13427000</v>
      </c>
      <c r="G22" s="563">
        <v>26274000</v>
      </c>
      <c r="H22" s="652"/>
      <c r="I22" s="653"/>
      <c r="J22" s="564">
        <v>45131000</v>
      </c>
    </row>
    <row r="23" spans="2:12" ht="22" customHeight="1" x14ac:dyDescent="0.25">
      <c r="B23" s="553" t="s">
        <v>440</v>
      </c>
      <c r="C23" s="568">
        <f>C17/AVERAGE(C21:C22)</f>
        <v>-0.2089142526908907</v>
      </c>
      <c r="D23" s="568">
        <f>D17/AVERAGE(D21:D22)</f>
        <v>2.9663238191645125E-2</v>
      </c>
      <c r="E23" s="568">
        <f>E17/AVERAGE(E21:E22)</f>
        <v>0.12861911722994349</v>
      </c>
      <c r="F23" s="568">
        <f>F17/AVERAGE(F21:F22)</f>
        <v>-6.2636242674744505E-2</v>
      </c>
      <c r="G23" s="568">
        <f>G17/AVERAGE(G21:G22)</f>
        <v>0.42386375509351165</v>
      </c>
      <c r="H23" s="668">
        <f>AVERAGE(C23:G23)</f>
        <v>6.211912302989301E-2</v>
      </c>
      <c r="I23" s="669">
        <f>MEDIAN(C23:G23)</f>
        <v>2.9663238191645125E-2</v>
      </c>
      <c r="J23" s="569">
        <f>J17/AVERAGE(J21:J22)</f>
        <v>1.7433978330775004E-2</v>
      </c>
    </row>
    <row r="24" spans="2:12" ht="22" customHeight="1" x14ac:dyDescent="0.25">
      <c r="B24" s="562" t="s">
        <v>441</v>
      </c>
      <c r="C24" s="629">
        <f>C17/((C19+657655)/2)</f>
        <v>-0.17395514557526495</v>
      </c>
      <c r="D24" s="629">
        <f>D17/((D19+67580000)/2)</f>
        <v>2.3990175869479408E-2</v>
      </c>
      <c r="E24" s="629">
        <f>E17/((E19+72861000)/2)</f>
        <v>4.9432718673744054E-2</v>
      </c>
      <c r="F24" s="629">
        <f>F17/((F19+21228.5)/2)</f>
        <v>-8.7512299000750457E-2</v>
      </c>
      <c r="G24" s="629">
        <f>G17/((G19+51040000)/2)</f>
        <v>0.19100890822457012</v>
      </c>
      <c r="H24" s="670">
        <f>AVERAGE(C24:G24)</f>
        <v>5.9287163835562988E-4</v>
      </c>
      <c r="I24" s="671">
        <f>MEDIAN(C24:G24)</f>
        <v>2.3990175869479408E-2</v>
      </c>
      <c r="J24" s="574">
        <f>J17/((J19+64254000)/2)</f>
        <v>1.1640607466147977E-2</v>
      </c>
    </row>
    <row r="25" spans="2:12" ht="22" customHeight="1" x14ac:dyDescent="0.25">
      <c r="B25" s="575" t="s">
        <v>442</v>
      </c>
      <c r="C25" s="630">
        <f>C5/C11</f>
        <v>0</v>
      </c>
      <c r="D25" s="630">
        <f>D5/D11</f>
        <v>1.3847470521110687</v>
      </c>
      <c r="E25" s="630">
        <f>E5/E11</f>
        <v>2.8295154738473136</v>
      </c>
      <c r="F25" s="630">
        <f>F5/F11</f>
        <v>6.2366482504604051</v>
      </c>
      <c r="G25" s="630">
        <f>G5/G11</f>
        <v>1.148755789308423</v>
      </c>
      <c r="H25" s="672">
        <f>AVERAGE(C25:G25)</f>
        <v>2.3199333131454418</v>
      </c>
      <c r="I25" s="673">
        <f>MEDIAN(C25:G25)</f>
        <v>1.3847470521110687</v>
      </c>
      <c r="J25" s="576">
        <f>J5/J11</f>
        <v>1.3981423502400334</v>
      </c>
    </row>
    <row r="26" spans="2:12" ht="22" customHeight="1" x14ac:dyDescent="0.25">
      <c r="B26" s="562" t="s">
        <v>443</v>
      </c>
      <c r="C26" s="577">
        <v>82.93</v>
      </c>
      <c r="D26" s="577">
        <v>157.38999999999999</v>
      </c>
      <c r="E26" s="577">
        <v>344.94</v>
      </c>
      <c r="F26" s="577">
        <v>74.260000000000005</v>
      </c>
      <c r="G26" s="577">
        <v>166.85</v>
      </c>
      <c r="H26" s="674"/>
      <c r="I26" s="675"/>
      <c r="J26" s="578">
        <v>162.72999999999999</v>
      </c>
    </row>
    <row r="27" spans="2:12" ht="22" customHeight="1" x14ac:dyDescent="0.25">
      <c r="B27" s="559" t="s">
        <v>444</v>
      </c>
      <c r="C27" s="579">
        <v>41303.300000000003</v>
      </c>
      <c r="D27" s="579">
        <v>1625000</v>
      </c>
      <c r="E27" s="579">
        <v>4778000</v>
      </c>
      <c r="F27" s="579">
        <v>865500</v>
      </c>
      <c r="G27" s="579">
        <v>1130000</v>
      </c>
      <c r="H27" s="676"/>
      <c r="I27" s="677"/>
      <c r="J27" s="580">
        <v>1118000</v>
      </c>
    </row>
    <row r="28" spans="2:12" ht="22" customHeight="1" x14ac:dyDescent="0.25">
      <c r="B28" s="562" t="s">
        <v>445</v>
      </c>
      <c r="C28" s="577">
        <f>C17/C27</f>
        <v>-2.835754043865744</v>
      </c>
      <c r="D28" s="577">
        <v>1.01</v>
      </c>
      <c r="E28" s="577">
        <v>1.23</v>
      </c>
      <c r="F28" s="577">
        <v>-1.02</v>
      </c>
      <c r="G28" s="577">
        <v>8.98</v>
      </c>
      <c r="H28" s="678"/>
      <c r="I28" s="679"/>
      <c r="J28" s="578">
        <f>J17/J27</f>
        <v>0.69588550983899822</v>
      </c>
    </row>
    <row r="29" spans="2:12" ht="22" customHeight="1" x14ac:dyDescent="0.25">
      <c r="B29" s="553" t="s">
        <v>446</v>
      </c>
      <c r="C29" s="635">
        <f>C26/C28</f>
        <v>-29.244426250362864</v>
      </c>
      <c r="D29" s="635">
        <f>D26/D28</f>
        <v>155.83168316831683</v>
      </c>
      <c r="E29" s="635">
        <f>E26/E28</f>
        <v>280.4390243902439</v>
      </c>
      <c r="F29" s="635">
        <f>F26/F28</f>
        <v>-72.803921568627459</v>
      </c>
      <c r="G29" s="635">
        <f>G26/G28</f>
        <v>18.580178173719375</v>
      </c>
      <c r="H29" s="680">
        <f>AVERAGE(C29:G29)</f>
        <v>70.560507582657962</v>
      </c>
      <c r="I29" s="681">
        <f>MEDIAN(C29:G29)</f>
        <v>18.580178173719375</v>
      </c>
      <c r="J29" s="636" t="s">
        <v>316</v>
      </c>
    </row>
    <row r="30" spans="2:12" ht="22" customHeight="1" x14ac:dyDescent="0.25">
      <c r="B30" s="562" t="s">
        <v>447</v>
      </c>
      <c r="C30" s="637">
        <f>C26/(C22/C27)</f>
        <v>6.1011924736200873</v>
      </c>
      <c r="D30" s="637">
        <f>D26/(D22/D27)</f>
        <v>4.5759455736062407</v>
      </c>
      <c r="E30" s="637">
        <f>E26/(E22/E27)</f>
        <v>24.352423534974438</v>
      </c>
      <c r="F30" s="637">
        <f>F26/(F22/F27)</f>
        <v>4.7867751545393613</v>
      </c>
      <c r="G30" s="637">
        <f>G26/(G22/G27)</f>
        <v>7.1759343838014766</v>
      </c>
      <c r="H30" s="682">
        <f>AVERAGE(C30:G30)</f>
        <v>9.3984542241083222</v>
      </c>
      <c r="I30" s="683">
        <f>MEDIAN(C30:G30)</f>
        <v>6.1011924736200873</v>
      </c>
      <c r="J30" s="638" t="s">
        <v>317</v>
      </c>
    </row>
    <row r="31" spans="2:12" ht="22" customHeight="1" x14ac:dyDescent="0.25">
      <c r="B31" s="559" t="s">
        <v>448</v>
      </c>
      <c r="C31" s="628">
        <f>C5/C4</f>
        <v>0</v>
      </c>
      <c r="D31" s="628">
        <f>D5/D4</f>
        <v>2.8468234224635524E-2</v>
      </c>
      <c r="E31" s="628">
        <f>E5/E4</f>
        <v>4.0995718694156941E-2</v>
      </c>
      <c r="F31" s="628">
        <f>F5/F4</f>
        <v>6.3228125827051049E-2</v>
      </c>
      <c r="G31" s="628">
        <f>G5/G4</f>
        <v>7.7617275863806456E-2</v>
      </c>
      <c r="H31" s="684">
        <f>AVERAGE(C31:G31)</f>
        <v>4.2061870921929992E-2</v>
      </c>
      <c r="I31" s="685">
        <f>MEDIAN(C31:G31)</f>
        <v>4.0995718694156941E-2</v>
      </c>
      <c r="J31" s="581">
        <v>7.3599999999999999E-2</v>
      </c>
    </row>
    <row r="32" spans="2:12" ht="22" customHeight="1" x14ac:dyDescent="0.25">
      <c r="B32" s="556" t="s">
        <v>449</v>
      </c>
      <c r="C32" s="582">
        <f>C5/C22</f>
        <v>0</v>
      </c>
      <c r="D32" s="582">
        <f>D5/D22</f>
        <v>0.1302690903886066</v>
      </c>
      <c r="E32" s="582">
        <f>E5/E22</f>
        <v>0.99834510476077898</v>
      </c>
      <c r="F32" s="582">
        <f>F5/F22</f>
        <v>0.30265882177701647</v>
      </c>
      <c r="G32" s="582">
        <f>G5/G22</f>
        <v>0.55697647864809319</v>
      </c>
      <c r="H32" s="686">
        <f>AVERAGE(C32:G32)</f>
        <v>0.39764989911489906</v>
      </c>
      <c r="I32" s="687">
        <f>MEDIAN(C32:G32)</f>
        <v>0.30265882177701647</v>
      </c>
      <c r="J32" s="570">
        <v>0.29680000000000001</v>
      </c>
    </row>
    <row r="33" spans="2:10" ht="22" customHeight="1" x14ac:dyDescent="0.25">
      <c r="B33" s="559" t="s">
        <v>450</v>
      </c>
      <c r="C33" s="642">
        <f>C17/C8</f>
        <v>-0.4111631825601601</v>
      </c>
      <c r="D33" s="642">
        <f>D17/D8</f>
        <v>6.3641652123327522E-2</v>
      </c>
      <c r="E33" s="642">
        <f>E17/E8</f>
        <v>0.11430177996664986</v>
      </c>
      <c r="F33" s="642">
        <f>F17/F8</f>
        <v>-0.15345135505349122</v>
      </c>
      <c r="G33" s="642">
        <f>G17/G8</f>
        <v>0.26030491247882553</v>
      </c>
      <c r="H33" s="583"/>
      <c r="I33" s="584"/>
      <c r="J33" s="644">
        <v>0.03</v>
      </c>
    </row>
    <row r="34" spans="2:10" ht="22" customHeight="1" x14ac:dyDescent="0.25">
      <c r="B34" s="562" t="s">
        <v>451</v>
      </c>
      <c r="C34" s="643">
        <f>C8/C19</f>
        <v>0.41346622774932945</v>
      </c>
      <c r="D34" s="643">
        <f>D8/D19</f>
        <v>0.3724756594343166</v>
      </c>
      <c r="E34" s="643">
        <f>E8/E19</f>
        <v>0.31135259138519122</v>
      </c>
      <c r="F34" s="643">
        <f>F8/F19</f>
        <v>0.28544631146526767</v>
      </c>
      <c r="G34" s="643">
        <f>G8/G19</f>
        <v>0.70642201834862384</v>
      </c>
      <c r="H34" s="585"/>
      <c r="I34" s="586"/>
      <c r="J34" s="645">
        <v>0.36</v>
      </c>
    </row>
    <row r="35" spans="2:10" ht="22" customHeight="1" x14ac:dyDescent="0.25">
      <c r="B35" s="559" t="s">
        <v>452</v>
      </c>
      <c r="C35" s="642">
        <f>C19/C22</f>
        <v>1.2272056885139613</v>
      </c>
      <c r="D35" s="642">
        <f>D19/D22</f>
        <v>1.2385672368138554</v>
      </c>
      <c r="E35" s="642">
        <f>E19/E22</f>
        <v>2.4475457312568336</v>
      </c>
      <c r="F35" s="642">
        <f>F19/F22</f>
        <v>1.5047665152305056</v>
      </c>
      <c r="G35" s="642">
        <f>G19/G22</f>
        <v>2.099185506584456</v>
      </c>
      <c r="H35" s="583"/>
      <c r="I35" s="584"/>
      <c r="J35" s="644">
        <v>1.54</v>
      </c>
    </row>
    <row r="36" spans="2:10" ht="22" customHeight="1" thickBot="1" x14ac:dyDescent="0.3">
      <c r="B36" s="587" t="s">
        <v>453</v>
      </c>
      <c r="C36" s="639">
        <f>C33*C35*C34</f>
        <v>-0.20862753200857842</v>
      </c>
      <c r="D36" s="639">
        <f>D33*D35*D34</f>
        <v>2.9360194661132186E-2</v>
      </c>
      <c r="E36" s="639">
        <f>E33*E35*E34</f>
        <v>8.7103637814356219E-2</v>
      </c>
      <c r="F36" s="639">
        <f>F33*F35*F34</f>
        <v>-6.5911968421836595E-2</v>
      </c>
      <c r="G36" s="639">
        <f>G33*G35*G34</f>
        <v>0.38600898226383495</v>
      </c>
      <c r="H36" s="588"/>
      <c r="I36" s="589"/>
      <c r="J36" s="590">
        <v>1.72E-2</v>
      </c>
    </row>
    <row r="42" spans="2:10" ht="22" customHeight="1" thickBot="1" x14ac:dyDescent="0.25"/>
    <row r="43" spans="2:10" ht="22" customHeight="1" thickBot="1" x14ac:dyDescent="0.3">
      <c r="B43" s="547" t="s">
        <v>455</v>
      </c>
      <c r="C43" s="594" t="s">
        <v>305</v>
      </c>
      <c r="D43" s="594" t="s">
        <v>307</v>
      </c>
      <c r="E43" s="594" t="s">
        <v>456</v>
      </c>
      <c r="F43" s="595" t="s">
        <v>313</v>
      </c>
      <c r="G43" s="596" t="s">
        <v>314</v>
      </c>
      <c r="H43" s="546" t="s">
        <v>457</v>
      </c>
    </row>
    <row r="44" spans="2:10" ht="22" customHeight="1" x14ac:dyDescent="0.25">
      <c r="B44" s="591" t="s">
        <v>271</v>
      </c>
      <c r="C44" s="597">
        <v>259998750</v>
      </c>
      <c r="D44" s="597">
        <v>1706341320</v>
      </c>
      <c r="E44" s="597">
        <v>195325500</v>
      </c>
      <c r="F44" s="688">
        <v>720555190</v>
      </c>
      <c r="G44" s="689">
        <v>259998750</v>
      </c>
      <c r="H44" s="601">
        <v>188675140</v>
      </c>
    </row>
    <row r="45" spans="2:10" ht="22" customHeight="1" x14ac:dyDescent="0.25">
      <c r="B45" s="592" t="s">
        <v>276</v>
      </c>
      <c r="C45" s="598">
        <v>25785000</v>
      </c>
      <c r="D45" s="598">
        <v>51574000</v>
      </c>
      <c r="E45" s="598">
        <v>38962000</v>
      </c>
      <c r="F45" s="690">
        <v>38773667</v>
      </c>
      <c r="G45" s="691">
        <v>38962000</v>
      </c>
      <c r="H45" s="602">
        <v>25111000</v>
      </c>
    </row>
    <row r="46" spans="2:10" ht="22" customHeight="1" x14ac:dyDescent="0.25">
      <c r="B46" s="615" t="s">
        <v>432</v>
      </c>
      <c r="C46" s="611">
        <v>0.13689999999999999</v>
      </c>
      <c r="D46" s="611">
        <v>0.43990000000000001</v>
      </c>
      <c r="E46" s="611">
        <v>8.77E-2</v>
      </c>
      <c r="F46" s="692">
        <v>0.2215</v>
      </c>
      <c r="G46" s="693">
        <v>0.13689999999999999</v>
      </c>
      <c r="H46" s="616">
        <v>0.6159</v>
      </c>
    </row>
    <row r="47" spans="2:10" ht="22" customHeight="1" x14ac:dyDescent="0.25">
      <c r="B47" s="592" t="s">
        <v>279</v>
      </c>
      <c r="C47" s="599">
        <v>5258000</v>
      </c>
      <c r="D47" s="599">
        <v>23879000</v>
      </c>
      <c r="E47" s="599">
        <v>12739000</v>
      </c>
      <c r="F47" s="694">
        <v>13958667</v>
      </c>
      <c r="G47" s="695">
        <v>12739000</v>
      </c>
      <c r="H47" s="603">
        <v>9582000</v>
      </c>
    </row>
    <row r="48" spans="2:10" ht="22" customHeight="1" x14ac:dyDescent="0.25">
      <c r="B48" s="615" t="s">
        <v>458</v>
      </c>
      <c r="C48" s="612">
        <v>0.2039</v>
      </c>
      <c r="D48" s="612">
        <v>0.46300000000000002</v>
      </c>
      <c r="E48" s="612">
        <v>0.32700000000000001</v>
      </c>
      <c r="F48" s="692">
        <v>0.33129999999999998</v>
      </c>
      <c r="G48" s="693">
        <v>0.32700000000000001</v>
      </c>
      <c r="H48" s="617">
        <v>0.38159999999999999</v>
      </c>
    </row>
    <row r="49" spans="2:8" ht="22" customHeight="1" x14ac:dyDescent="0.25">
      <c r="B49" s="618" t="s">
        <v>459</v>
      </c>
      <c r="C49" s="609" t="s">
        <v>460</v>
      </c>
      <c r="D49" s="609" t="s">
        <v>461</v>
      </c>
      <c r="E49" s="609" t="s">
        <v>462</v>
      </c>
      <c r="F49" s="696" t="s">
        <v>463</v>
      </c>
      <c r="G49" s="697" t="s">
        <v>460</v>
      </c>
      <c r="H49" s="619" t="s">
        <v>464</v>
      </c>
    </row>
    <row r="50" spans="2:8" ht="22" customHeight="1" x14ac:dyDescent="0.25">
      <c r="B50" s="591" t="s">
        <v>465</v>
      </c>
      <c r="C50" s="607" t="s">
        <v>466</v>
      </c>
      <c r="D50" s="607" t="s">
        <v>467</v>
      </c>
      <c r="E50" s="607" t="s">
        <v>468</v>
      </c>
      <c r="F50" s="698" t="s">
        <v>469</v>
      </c>
      <c r="G50" s="699" t="s">
        <v>467</v>
      </c>
      <c r="H50" s="608" t="s">
        <v>470</v>
      </c>
    </row>
    <row r="51" spans="2:8" ht="22" customHeight="1" x14ac:dyDescent="0.25">
      <c r="B51" s="592" t="s">
        <v>471</v>
      </c>
      <c r="C51" s="605" t="s">
        <v>472</v>
      </c>
      <c r="D51" s="605" t="s">
        <v>473</v>
      </c>
      <c r="E51" s="605" t="s">
        <v>474</v>
      </c>
      <c r="F51" s="700" t="s">
        <v>475</v>
      </c>
      <c r="G51" s="701" t="s">
        <v>472</v>
      </c>
      <c r="H51" s="606" t="s">
        <v>476</v>
      </c>
    </row>
    <row r="52" spans="2:8" ht="22" customHeight="1" x14ac:dyDescent="0.25">
      <c r="B52" s="591" t="s">
        <v>477</v>
      </c>
      <c r="C52" s="607" t="s">
        <v>478</v>
      </c>
      <c r="D52" s="607" t="s">
        <v>479</v>
      </c>
      <c r="E52" s="607" t="s">
        <v>480</v>
      </c>
      <c r="F52" s="698" t="s">
        <v>481</v>
      </c>
      <c r="G52" s="699" t="s">
        <v>478</v>
      </c>
      <c r="H52" s="608" t="s">
        <v>482</v>
      </c>
    </row>
    <row r="53" spans="2:8" ht="22" customHeight="1" x14ac:dyDescent="0.25">
      <c r="B53" s="593" t="s">
        <v>483</v>
      </c>
      <c r="C53" s="605" t="s">
        <v>484</v>
      </c>
      <c r="D53" s="605" t="s">
        <v>485</v>
      </c>
      <c r="E53" s="605" t="s">
        <v>486</v>
      </c>
      <c r="F53" s="700" t="s">
        <v>487</v>
      </c>
      <c r="G53" s="701" t="s">
        <v>486</v>
      </c>
      <c r="H53" s="606" t="s">
        <v>317</v>
      </c>
    </row>
    <row r="54" spans="2:8" ht="22" customHeight="1" x14ac:dyDescent="0.25">
      <c r="B54" s="620" t="s">
        <v>488</v>
      </c>
      <c r="C54" s="610" t="s">
        <v>489</v>
      </c>
      <c r="D54" s="610" t="s">
        <v>490</v>
      </c>
      <c r="E54" s="610" t="s">
        <v>491</v>
      </c>
      <c r="F54" s="702" t="s">
        <v>492</v>
      </c>
      <c r="G54" s="703" t="s">
        <v>489</v>
      </c>
      <c r="H54" s="621" t="s">
        <v>316</v>
      </c>
    </row>
    <row r="55" spans="2:8" ht="22" customHeight="1" x14ac:dyDescent="0.25">
      <c r="B55" s="618" t="s">
        <v>290</v>
      </c>
      <c r="C55" s="613">
        <v>2.4E-2</v>
      </c>
      <c r="D55" s="613">
        <v>4.9399999999999999E-2</v>
      </c>
      <c r="E55" s="613">
        <v>0.191</v>
      </c>
      <c r="F55" s="704">
        <v>8.8099999999999998E-2</v>
      </c>
      <c r="G55" s="705">
        <v>4.9399999999999999E-2</v>
      </c>
      <c r="H55" s="622">
        <v>1.1599999999999999E-2</v>
      </c>
    </row>
    <row r="56" spans="2:8" ht="22" customHeight="1" x14ac:dyDescent="0.25">
      <c r="B56" s="623" t="s">
        <v>257</v>
      </c>
      <c r="C56" s="614">
        <v>2.9700000000000001E-2</v>
      </c>
      <c r="D56" s="614">
        <v>0.12859999999999999</v>
      </c>
      <c r="E56" s="614">
        <v>0.4239</v>
      </c>
      <c r="F56" s="706">
        <v>0.19409999999999999</v>
      </c>
      <c r="G56" s="707">
        <v>0.12859999999999999</v>
      </c>
      <c r="H56" s="624">
        <v>1.7399999999999999E-2</v>
      </c>
    </row>
    <row r="57" spans="2:8" ht="22" customHeight="1" x14ac:dyDescent="0.25">
      <c r="B57" s="592" t="s">
        <v>427</v>
      </c>
      <c r="C57" s="599">
        <v>255758750</v>
      </c>
      <c r="D57" s="599">
        <v>1648123320</v>
      </c>
      <c r="E57" s="599">
        <v>188540500</v>
      </c>
      <c r="F57" s="694">
        <v>697474190</v>
      </c>
      <c r="G57" s="695">
        <v>255758750</v>
      </c>
      <c r="H57" s="603">
        <v>181932140</v>
      </c>
    </row>
    <row r="58" spans="2:8" ht="22" customHeight="1" x14ac:dyDescent="0.25">
      <c r="B58" s="591" t="s">
        <v>227</v>
      </c>
      <c r="C58" s="600">
        <v>5961000</v>
      </c>
      <c r="D58" s="600">
        <v>59543000</v>
      </c>
      <c r="E58" s="600">
        <v>7504000</v>
      </c>
      <c r="F58" s="708">
        <v>24336000</v>
      </c>
      <c r="G58" s="709">
        <v>7504000</v>
      </c>
      <c r="H58" s="604">
        <v>7353000</v>
      </c>
    </row>
    <row r="59" spans="2:8" ht="22" customHeight="1" thickBot="1" x14ac:dyDescent="0.3">
      <c r="B59" s="625" t="s">
        <v>442</v>
      </c>
      <c r="C59" s="626">
        <v>1.3847</v>
      </c>
      <c r="D59" s="626">
        <v>2.8294999999999999</v>
      </c>
      <c r="E59" s="626">
        <v>1.1488</v>
      </c>
      <c r="F59" s="710">
        <v>1.7877000000000001</v>
      </c>
      <c r="G59" s="711">
        <v>1.3847</v>
      </c>
      <c r="H59" s="627">
        <v>1.3980999999999999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B413-EEDA-F749-8466-0FB37EA235CB}">
  <dimension ref="B5:AC66"/>
  <sheetViews>
    <sheetView topLeftCell="N1" zoomScale="75" workbookViewId="0">
      <selection activeCell="X43" sqref="X43"/>
    </sheetView>
  </sheetViews>
  <sheetFormatPr baseColWidth="10" defaultRowHeight="16" x14ac:dyDescent="0.2"/>
  <cols>
    <col min="3" max="4" width="11.1640625" customWidth="1"/>
    <col min="6" max="6" width="12.1640625" customWidth="1"/>
    <col min="7" max="7" width="20.1640625" customWidth="1"/>
    <col min="8" max="8" width="12.1640625" customWidth="1"/>
    <col min="9" max="9" width="11.5" customWidth="1"/>
    <col min="10" max="10" width="13.5" customWidth="1"/>
    <col min="16" max="16" width="21.6640625" customWidth="1"/>
    <col min="17" max="17" width="15.5" customWidth="1"/>
    <col min="18" max="18" width="10.83203125" customWidth="1"/>
    <col min="21" max="21" width="14.5" customWidth="1"/>
    <col min="24" max="24" width="13.83203125" customWidth="1"/>
    <col min="25" max="25" width="13.5" customWidth="1"/>
    <col min="27" max="27" width="20.83203125" customWidth="1"/>
    <col min="28" max="28" width="21.83203125" customWidth="1"/>
    <col min="29" max="29" width="22.33203125" customWidth="1"/>
  </cols>
  <sheetData>
    <row r="5" spans="3:23" x14ac:dyDescent="0.2">
      <c r="C5" t="s">
        <v>351</v>
      </c>
      <c r="D5" t="s">
        <v>13</v>
      </c>
    </row>
    <row r="6" spans="3:23" x14ac:dyDescent="0.2">
      <c r="C6" t="s">
        <v>352</v>
      </c>
      <c r="D6">
        <v>9513</v>
      </c>
    </row>
    <row r="7" spans="3:23" x14ac:dyDescent="0.2">
      <c r="C7" t="s">
        <v>353</v>
      </c>
      <c r="D7">
        <v>6354</v>
      </c>
    </row>
    <row r="8" spans="3:23" x14ac:dyDescent="0.2">
      <c r="C8" t="s">
        <v>354</v>
      </c>
      <c r="D8">
        <v>4614</v>
      </c>
      <c r="O8" s="471" t="s">
        <v>359</v>
      </c>
      <c r="P8" s="471" t="s">
        <v>372</v>
      </c>
      <c r="Q8" s="471" t="s">
        <v>399</v>
      </c>
      <c r="R8" s="471" t="s">
        <v>400</v>
      </c>
    </row>
    <row r="9" spans="3:23" x14ac:dyDescent="0.2">
      <c r="C9" t="s">
        <v>355</v>
      </c>
      <c r="D9">
        <v>4592</v>
      </c>
      <c r="O9" t="s">
        <v>362</v>
      </c>
      <c r="P9">
        <v>8.5</v>
      </c>
      <c r="Q9">
        <v>9.6</v>
      </c>
      <c r="R9">
        <v>-0.7</v>
      </c>
    </row>
    <row r="10" spans="3:23" x14ac:dyDescent="0.2">
      <c r="O10" t="s">
        <v>363</v>
      </c>
      <c r="P10">
        <v>17</v>
      </c>
      <c r="Q10">
        <v>16</v>
      </c>
      <c r="R10">
        <v>0.4</v>
      </c>
    </row>
    <row r="11" spans="3:23" x14ac:dyDescent="0.2">
      <c r="O11" t="s">
        <v>364</v>
      </c>
      <c r="P11">
        <v>21.5</v>
      </c>
      <c r="Q11">
        <v>16</v>
      </c>
      <c r="R11">
        <v>4.5999999999999996</v>
      </c>
    </row>
    <row r="12" spans="3:23" x14ac:dyDescent="0.2">
      <c r="O12" t="s">
        <v>365</v>
      </c>
      <c r="P12">
        <v>25.3</v>
      </c>
      <c r="Q12">
        <v>16</v>
      </c>
      <c r="R12">
        <v>8.1</v>
      </c>
    </row>
    <row r="13" spans="3:23" x14ac:dyDescent="0.2">
      <c r="O13" t="s">
        <v>366</v>
      </c>
      <c r="P13">
        <v>27.3</v>
      </c>
      <c r="Q13">
        <v>16</v>
      </c>
      <c r="R13">
        <v>9.8000000000000007</v>
      </c>
    </row>
    <row r="14" spans="3:23" x14ac:dyDescent="0.2">
      <c r="O14" t="s">
        <v>367</v>
      </c>
      <c r="P14">
        <v>29.6</v>
      </c>
      <c r="Q14">
        <v>15</v>
      </c>
      <c r="R14">
        <v>12.9</v>
      </c>
    </row>
    <row r="15" spans="3:23" x14ac:dyDescent="0.2">
      <c r="H15" s="471"/>
      <c r="I15" s="471" t="s">
        <v>359</v>
      </c>
      <c r="J15" s="471" t="s">
        <v>360</v>
      </c>
      <c r="K15" s="471" t="s">
        <v>361</v>
      </c>
      <c r="O15" t="s">
        <v>368</v>
      </c>
      <c r="P15">
        <v>30.2</v>
      </c>
      <c r="Q15">
        <v>15</v>
      </c>
      <c r="R15">
        <v>13.2</v>
      </c>
      <c r="U15" s="478" t="s">
        <v>373</v>
      </c>
      <c r="V15" s="478" t="s">
        <v>374</v>
      </c>
      <c r="W15" s="478" t="s">
        <v>362</v>
      </c>
    </row>
    <row r="16" spans="3:23" x14ac:dyDescent="0.2">
      <c r="I16" t="s">
        <v>362</v>
      </c>
      <c r="J16">
        <v>25.1</v>
      </c>
      <c r="K16" s="473">
        <v>0.224</v>
      </c>
      <c r="U16" t="s">
        <v>360</v>
      </c>
      <c r="V16" s="479">
        <v>15.54</v>
      </c>
      <c r="W16" s="479">
        <v>25.111000000000001</v>
      </c>
    </row>
    <row r="17" spans="9:29" x14ac:dyDescent="0.2">
      <c r="I17" t="s">
        <v>363</v>
      </c>
      <c r="J17">
        <v>32.9</v>
      </c>
      <c r="K17" s="473">
        <v>0.52</v>
      </c>
      <c r="U17" t="s">
        <v>375</v>
      </c>
      <c r="V17" s="479">
        <v>-1.4159999999999999</v>
      </c>
      <c r="W17" s="479">
        <v>5.6130000000000004</v>
      </c>
    </row>
    <row r="18" spans="9:29" x14ac:dyDescent="0.2">
      <c r="I18" t="s">
        <v>364</v>
      </c>
      <c r="J18">
        <v>42.7</v>
      </c>
      <c r="K18" s="473">
        <v>0.53</v>
      </c>
      <c r="U18" t="s">
        <v>369</v>
      </c>
      <c r="V18" s="479">
        <v>2.0110000000000001</v>
      </c>
      <c r="W18" s="479">
        <v>9.0839999999999996</v>
      </c>
    </row>
    <row r="19" spans="9:29" x14ac:dyDescent="0.2">
      <c r="I19" t="s">
        <v>365</v>
      </c>
      <c r="J19">
        <v>51</v>
      </c>
      <c r="K19" s="473">
        <v>0.53</v>
      </c>
      <c r="U19" t="s">
        <v>376</v>
      </c>
      <c r="V19" s="479">
        <v>-5.8330000000000002</v>
      </c>
      <c r="W19" s="479">
        <v>0.77800000000000002</v>
      </c>
    </row>
    <row r="20" spans="9:29" x14ac:dyDescent="0.2">
      <c r="I20" t="s">
        <v>366</v>
      </c>
      <c r="J20">
        <v>54.3</v>
      </c>
      <c r="K20" s="473">
        <v>0.5</v>
      </c>
    </row>
    <row r="21" spans="9:29" x14ac:dyDescent="0.2">
      <c r="I21" t="s">
        <v>367</v>
      </c>
      <c r="J21">
        <v>57.1</v>
      </c>
      <c r="K21" s="473">
        <v>0.49</v>
      </c>
      <c r="N21" s="471" t="s">
        <v>359</v>
      </c>
      <c r="O21" s="471" t="s">
        <v>360</v>
      </c>
      <c r="P21" s="471" t="s">
        <v>369</v>
      </c>
      <c r="Q21" s="471" t="s">
        <v>370</v>
      </c>
    </row>
    <row r="22" spans="9:29" x14ac:dyDescent="0.2">
      <c r="I22" t="s">
        <v>368</v>
      </c>
      <c r="J22">
        <v>60.7</v>
      </c>
      <c r="K22" s="473">
        <v>0.46</v>
      </c>
      <c r="N22" t="s">
        <v>362</v>
      </c>
      <c r="O22">
        <v>25.1</v>
      </c>
      <c r="P22">
        <v>9.1</v>
      </c>
      <c r="Q22" s="472">
        <v>0.36199999999999999</v>
      </c>
    </row>
    <row r="23" spans="9:29" x14ac:dyDescent="0.2">
      <c r="N23" t="s">
        <v>363</v>
      </c>
      <c r="O23">
        <v>32.9</v>
      </c>
      <c r="P23">
        <v>19.100000000000001</v>
      </c>
      <c r="Q23" s="472">
        <v>0.58099999999999996</v>
      </c>
      <c r="U23" s="471" t="s">
        <v>359</v>
      </c>
      <c r="V23" s="471" t="s">
        <v>377</v>
      </c>
      <c r="W23" s="471" t="s">
        <v>378</v>
      </c>
      <c r="X23" s="471" t="s">
        <v>379</v>
      </c>
      <c r="AA23" s="471" t="s">
        <v>386</v>
      </c>
      <c r="AB23" s="471" t="s">
        <v>392</v>
      </c>
      <c r="AC23" s="471" t="s">
        <v>387</v>
      </c>
    </row>
    <row r="24" spans="9:29" x14ac:dyDescent="0.2">
      <c r="N24" t="s">
        <v>364</v>
      </c>
      <c r="O24">
        <v>42.7</v>
      </c>
      <c r="P24">
        <v>25.3</v>
      </c>
      <c r="Q24" s="472">
        <v>0.59299999999999997</v>
      </c>
      <c r="U24" t="s">
        <v>362</v>
      </c>
      <c r="V24" s="474">
        <v>9.1519999999999992</v>
      </c>
      <c r="W24" s="474">
        <v>13.491</v>
      </c>
      <c r="X24" s="474">
        <v>7.0949999999999998</v>
      </c>
      <c r="AA24" s="476" t="s">
        <v>388</v>
      </c>
      <c r="AB24" s="476" t="s">
        <v>393</v>
      </c>
      <c r="AC24" s="476">
        <v>208.22</v>
      </c>
    </row>
    <row r="25" spans="9:29" x14ac:dyDescent="0.2">
      <c r="N25" t="s">
        <v>365</v>
      </c>
      <c r="O25">
        <v>51</v>
      </c>
      <c r="P25">
        <v>29.1</v>
      </c>
      <c r="Q25" s="472">
        <v>0.56999999999999995</v>
      </c>
      <c r="U25" t="s">
        <v>363</v>
      </c>
      <c r="V25" s="474">
        <v>9.2230000000000008</v>
      </c>
      <c r="W25" s="474">
        <v>13.452</v>
      </c>
      <c r="X25" s="474">
        <v>6.9</v>
      </c>
      <c r="Y25">
        <v>6.9</v>
      </c>
      <c r="AA25" s="476" t="s">
        <v>389</v>
      </c>
      <c r="AB25" s="476" t="s">
        <v>396</v>
      </c>
      <c r="AC25" s="476">
        <v>509.18</v>
      </c>
    </row>
    <row r="26" spans="9:29" x14ac:dyDescent="0.2">
      <c r="N26" t="s">
        <v>366</v>
      </c>
      <c r="O26">
        <v>54.3</v>
      </c>
      <c r="P26">
        <v>29.6</v>
      </c>
      <c r="Q26" s="472">
        <v>0.54600000000000004</v>
      </c>
      <c r="U26" t="s">
        <v>364</v>
      </c>
      <c r="V26" s="474">
        <v>16.57</v>
      </c>
      <c r="W26" s="474">
        <v>13.215999999999999</v>
      </c>
      <c r="X26" s="474"/>
      <c r="Y26">
        <f ca="1">'Valuation Project'!F147-'Valuation Project'!F22</f>
        <v>4685.6491352404082</v>
      </c>
      <c r="AA26" s="476" t="s">
        <v>390</v>
      </c>
      <c r="AB26" s="476" t="s">
        <v>394</v>
      </c>
      <c r="AC26" s="476">
        <v>321.35000000000002</v>
      </c>
    </row>
    <row r="27" spans="9:29" x14ac:dyDescent="0.2">
      <c r="N27" t="s">
        <v>367</v>
      </c>
      <c r="O27">
        <v>57.1</v>
      </c>
      <c r="P27">
        <v>32.4</v>
      </c>
      <c r="Q27" s="472">
        <v>0.56799999999999995</v>
      </c>
      <c r="U27" t="s">
        <v>365</v>
      </c>
      <c r="V27" s="474">
        <v>27.736000000000001</v>
      </c>
      <c r="W27" s="474">
        <v>12.95</v>
      </c>
      <c r="X27" s="474"/>
      <c r="Y27">
        <f ca="1">'Valuation Project'!G147-'Valuation Project'!G22</f>
        <v>2750.4031282893247</v>
      </c>
      <c r="AA27" s="476" t="s">
        <v>391</v>
      </c>
      <c r="AB27" s="476" t="s">
        <v>395</v>
      </c>
      <c r="AC27" s="476">
        <v>312.22000000000003</v>
      </c>
    </row>
    <row r="28" spans="9:29" x14ac:dyDescent="0.2">
      <c r="N28" t="s">
        <v>368</v>
      </c>
      <c r="O28">
        <v>60.7</v>
      </c>
      <c r="P28">
        <v>32.5</v>
      </c>
      <c r="Q28" s="472">
        <v>0.53500000000000003</v>
      </c>
      <c r="U28" t="s">
        <v>366</v>
      </c>
      <c r="V28" s="474">
        <v>37.783999999999999</v>
      </c>
      <c r="W28" s="474">
        <v>12.672000000000001</v>
      </c>
      <c r="X28" s="474"/>
      <c r="Y28">
        <f ca="1">'Valuation Project'!H147-'Valuation Project'!H22</f>
        <v>1821.32120121751</v>
      </c>
      <c r="AA28" s="471" t="s">
        <v>397</v>
      </c>
      <c r="AB28" s="471"/>
      <c r="AC28" s="471">
        <v>376.77</v>
      </c>
    </row>
    <row r="29" spans="9:29" x14ac:dyDescent="0.2">
      <c r="U29" t="s">
        <v>367</v>
      </c>
      <c r="V29" s="474">
        <v>51.825000000000003</v>
      </c>
      <c r="W29" s="474">
        <v>13.002000000000001</v>
      </c>
      <c r="X29" s="474"/>
      <c r="AA29" s="471"/>
    </row>
    <row r="30" spans="9:29" x14ac:dyDescent="0.2">
      <c r="U30" t="s">
        <v>368</v>
      </c>
      <c r="V30" s="474">
        <v>66.44</v>
      </c>
      <c r="W30" s="474">
        <v>13.3</v>
      </c>
      <c r="X30" s="474"/>
      <c r="AA30" s="471"/>
    </row>
    <row r="31" spans="9:29" x14ac:dyDescent="0.2">
      <c r="AA31" s="476"/>
    </row>
    <row r="32" spans="9:29" x14ac:dyDescent="0.2">
      <c r="AA32" s="476"/>
    </row>
    <row r="33" spans="2:27" x14ac:dyDescent="0.2">
      <c r="AA33" s="476"/>
    </row>
    <row r="34" spans="2:27" x14ac:dyDescent="0.2">
      <c r="U34" s="471" t="s">
        <v>380</v>
      </c>
      <c r="V34" s="471" t="s">
        <v>381</v>
      </c>
      <c r="AA34" s="476"/>
    </row>
    <row r="35" spans="2:27" x14ac:dyDescent="0.2">
      <c r="U35" t="s">
        <v>382</v>
      </c>
      <c r="V35" s="475">
        <v>88454</v>
      </c>
      <c r="AA35" s="471"/>
    </row>
    <row r="36" spans="2:27" x14ac:dyDescent="0.2">
      <c r="U36" t="s">
        <v>383</v>
      </c>
      <c r="V36" s="475">
        <v>483316</v>
      </c>
    </row>
    <row r="37" spans="2:27" x14ac:dyDescent="0.2">
      <c r="U37" t="s">
        <v>226</v>
      </c>
      <c r="V37" s="475">
        <v>571771</v>
      </c>
    </row>
    <row r="38" spans="2:27" x14ac:dyDescent="0.2">
      <c r="U38" t="s">
        <v>227</v>
      </c>
      <c r="V38" s="475">
        <v>7095</v>
      </c>
    </row>
    <row r="39" spans="2:27" x14ac:dyDescent="0.2">
      <c r="U39" t="s">
        <v>229</v>
      </c>
      <c r="V39" s="475">
        <v>564676</v>
      </c>
    </row>
    <row r="40" spans="2:27" x14ac:dyDescent="0.2">
      <c r="U40" t="s">
        <v>384</v>
      </c>
      <c r="V40" s="475">
        <v>1109</v>
      </c>
    </row>
    <row r="41" spans="2:27" x14ac:dyDescent="0.2">
      <c r="U41" t="s">
        <v>385</v>
      </c>
      <c r="V41">
        <v>509.18</v>
      </c>
    </row>
    <row r="44" spans="2:27" x14ac:dyDescent="0.2">
      <c r="B44" s="478" t="s">
        <v>373</v>
      </c>
      <c r="C44" s="478" t="s">
        <v>401</v>
      </c>
      <c r="D44" s="478" t="s">
        <v>402</v>
      </c>
    </row>
    <row r="45" spans="2:27" x14ac:dyDescent="0.2">
      <c r="B45" s="471" t="s">
        <v>360</v>
      </c>
      <c r="C45" s="489">
        <v>15.5</v>
      </c>
      <c r="D45" s="489">
        <v>25.1</v>
      </c>
    </row>
    <row r="46" spans="2:27" x14ac:dyDescent="0.2">
      <c r="B46" s="471" t="s">
        <v>375</v>
      </c>
      <c r="C46" s="489">
        <v>-1.4</v>
      </c>
      <c r="D46" s="489">
        <v>5.6</v>
      </c>
      <c r="S46" s="471"/>
      <c r="T46" s="471"/>
      <c r="X46" s="471" t="s">
        <v>413</v>
      </c>
      <c r="Y46" s="471" t="s">
        <v>414</v>
      </c>
    </row>
    <row r="47" spans="2:27" x14ac:dyDescent="0.2">
      <c r="B47" s="471" t="s">
        <v>403</v>
      </c>
      <c r="C47" s="490">
        <v>-9.0999999999999998E-2</v>
      </c>
      <c r="D47" s="490">
        <v>0.224</v>
      </c>
      <c r="X47" t="s">
        <v>415</v>
      </c>
      <c r="Y47" s="488">
        <v>3.5000000000000003E-2</v>
      </c>
    </row>
    <row r="48" spans="2:27" x14ac:dyDescent="0.2">
      <c r="B48" s="471" t="s">
        <v>369</v>
      </c>
      <c r="C48" s="489">
        <v>2</v>
      </c>
      <c r="D48" s="489">
        <v>9.1</v>
      </c>
      <c r="X48" t="s">
        <v>416</v>
      </c>
      <c r="Y48" s="488">
        <v>8.5000000000000006E-2</v>
      </c>
    </row>
    <row r="49" spans="2:25" x14ac:dyDescent="0.2">
      <c r="B49" s="471" t="s">
        <v>370</v>
      </c>
      <c r="C49" s="490">
        <v>0.129</v>
      </c>
      <c r="D49" s="490">
        <v>0.36199999999999999</v>
      </c>
      <c r="S49" s="471"/>
      <c r="X49" t="s">
        <v>417</v>
      </c>
      <c r="Y49" s="488">
        <v>0.05</v>
      </c>
    </row>
    <row r="50" spans="2:25" x14ac:dyDescent="0.2">
      <c r="B50" s="471" t="s">
        <v>404</v>
      </c>
      <c r="C50" s="489">
        <v>8.5</v>
      </c>
      <c r="D50" s="489">
        <v>17</v>
      </c>
      <c r="X50" t="s">
        <v>238</v>
      </c>
      <c r="Y50" s="471">
        <v>1.96</v>
      </c>
    </row>
    <row r="51" spans="2:25" x14ac:dyDescent="0.2">
      <c r="S51" s="471"/>
      <c r="X51" t="s">
        <v>418</v>
      </c>
      <c r="Y51" s="471" t="s">
        <v>419</v>
      </c>
    </row>
    <row r="52" spans="2:25" x14ac:dyDescent="0.2">
      <c r="X52" s="471" t="s">
        <v>420</v>
      </c>
      <c r="Y52" s="488">
        <v>0.13</v>
      </c>
    </row>
    <row r="53" spans="2:25" x14ac:dyDescent="0.2">
      <c r="X53" s="471" t="s">
        <v>421</v>
      </c>
      <c r="Y53" s="488">
        <v>3.2899999999999999E-2</v>
      </c>
    </row>
    <row r="54" spans="2:25" x14ac:dyDescent="0.2">
      <c r="X54" t="s">
        <v>422</v>
      </c>
      <c r="Y54" s="471" t="s">
        <v>423</v>
      </c>
    </row>
    <row r="55" spans="2:25" x14ac:dyDescent="0.2">
      <c r="X55" s="471" t="s">
        <v>424</v>
      </c>
      <c r="Y55" s="488">
        <v>0.123</v>
      </c>
    </row>
    <row r="58" spans="2:25" x14ac:dyDescent="0.2">
      <c r="F58" s="478" t="s">
        <v>405</v>
      </c>
      <c r="G58" s="478" t="s">
        <v>406</v>
      </c>
      <c r="H58" s="478" t="s">
        <v>42</v>
      </c>
      <c r="I58" s="478" t="s">
        <v>227</v>
      </c>
    </row>
    <row r="59" spans="2:25" x14ac:dyDescent="0.2">
      <c r="F59" s="487" t="s">
        <v>401</v>
      </c>
      <c r="G59" s="478">
        <v>9.1999999999999993</v>
      </c>
      <c r="H59" s="478">
        <v>9.6999999999999993</v>
      </c>
      <c r="I59" s="491">
        <v>0.5</v>
      </c>
    </row>
    <row r="60" spans="2:25" x14ac:dyDescent="0.2">
      <c r="F60" s="487" t="s">
        <v>402</v>
      </c>
      <c r="G60" s="478">
        <v>9.1999999999999993</v>
      </c>
      <c r="H60" s="478">
        <v>13.5</v>
      </c>
      <c r="I60" s="491">
        <v>4.3</v>
      </c>
    </row>
    <row r="61" spans="2:25" x14ac:dyDescent="0.2">
      <c r="F61" s="487" t="s">
        <v>407</v>
      </c>
      <c r="G61" s="478">
        <v>16.600000000000001</v>
      </c>
      <c r="H61" s="478">
        <v>13.5</v>
      </c>
      <c r="I61" s="491">
        <v>-3.1</v>
      </c>
    </row>
    <row r="62" spans="2:25" x14ac:dyDescent="0.2">
      <c r="F62" s="487" t="s">
        <v>408</v>
      </c>
      <c r="G62" s="478">
        <v>27.7</v>
      </c>
      <c r="H62" s="478">
        <v>13.2</v>
      </c>
      <c r="I62" s="491">
        <v>-14.5</v>
      </c>
    </row>
    <row r="63" spans="2:25" x14ac:dyDescent="0.2">
      <c r="F63" s="487" t="s">
        <v>409</v>
      </c>
      <c r="G63" s="478">
        <v>37.799999999999997</v>
      </c>
      <c r="H63" s="478">
        <v>13</v>
      </c>
      <c r="I63" s="491">
        <v>-24.8</v>
      </c>
    </row>
    <row r="64" spans="2:25" x14ac:dyDescent="0.2">
      <c r="F64" s="487" t="s">
        <v>410</v>
      </c>
      <c r="G64" s="478">
        <v>51.8</v>
      </c>
      <c r="H64" s="478">
        <v>12.7</v>
      </c>
      <c r="I64" s="491">
        <v>-39.1</v>
      </c>
    </row>
    <row r="65" spans="6:9" x14ac:dyDescent="0.2">
      <c r="F65" s="487" t="s">
        <v>411</v>
      </c>
      <c r="G65" s="478">
        <v>66.400000000000006</v>
      </c>
      <c r="H65" s="478">
        <v>13</v>
      </c>
      <c r="I65" s="491">
        <v>-53.4</v>
      </c>
    </row>
    <row r="66" spans="6:9" x14ac:dyDescent="0.2">
      <c r="F66" s="487" t="s">
        <v>412</v>
      </c>
      <c r="G66" s="478">
        <v>88.4</v>
      </c>
      <c r="H66" s="478">
        <v>13.3</v>
      </c>
      <c r="I66" s="491">
        <v>-75.099999999999994</v>
      </c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E2EA-284A-A348-A646-C1C6CBBBCA16}">
  <dimension ref="A1:G160"/>
  <sheetViews>
    <sheetView zoomScale="59" workbookViewId="0">
      <selection activeCell="K45" sqref="K45"/>
    </sheetView>
  </sheetViews>
  <sheetFormatPr baseColWidth="10" defaultRowHeight="16" x14ac:dyDescent="0.2"/>
  <cols>
    <col min="1" max="1" width="16.6640625" customWidth="1"/>
    <col min="7" max="7" width="16.83203125" customWidth="1"/>
    <col min="26" max="26" width="10.83203125" customWidth="1"/>
  </cols>
  <sheetData>
    <row r="1" spans="1:7" x14ac:dyDescent="0.2">
      <c r="A1" t="s">
        <v>330</v>
      </c>
      <c r="B1" t="s">
        <v>398</v>
      </c>
    </row>
    <row r="2" spans="1:7" ht="18" x14ac:dyDescent="0.2">
      <c r="A2" s="480">
        <v>45919</v>
      </c>
      <c r="B2" s="481">
        <v>162.72999999999999</v>
      </c>
      <c r="C2" s="481"/>
      <c r="D2" s="481"/>
      <c r="E2" s="481"/>
      <c r="F2" s="481"/>
      <c r="G2" s="482"/>
    </row>
    <row r="3" spans="1:7" ht="18" x14ac:dyDescent="0.2">
      <c r="A3" s="480">
        <v>45918</v>
      </c>
      <c r="B3" s="481">
        <v>168.89</v>
      </c>
      <c r="C3" s="481"/>
      <c r="D3" s="481"/>
      <c r="E3" s="481"/>
      <c r="F3" s="481"/>
      <c r="G3" s="482"/>
    </row>
    <row r="4" spans="1:7" ht="18" x14ac:dyDescent="0.2">
      <c r="A4" s="480">
        <v>45917</v>
      </c>
      <c r="B4" s="481">
        <v>159.99</v>
      </c>
      <c r="C4" s="481"/>
      <c r="D4" s="481"/>
      <c r="E4" s="481"/>
      <c r="F4" s="481"/>
      <c r="G4" s="482"/>
    </row>
    <row r="5" spans="1:7" ht="18" x14ac:dyDescent="0.2">
      <c r="A5" s="480">
        <v>45916</v>
      </c>
      <c r="B5" s="481">
        <v>158.82</v>
      </c>
      <c r="C5" s="481"/>
      <c r="D5" s="481"/>
      <c r="E5" s="481"/>
      <c r="F5" s="481"/>
      <c r="G5" s="482"/>
    </row>
    <row r="6" spans="1:7" ht="18" x14ac:dyDescent="0.2">
      <c r="A6" s="480">
        <v>45915</v>
      </c>
      <c r="B6" s="481">
        <v>157.77000000000001</v>
      </c>
      <c r="C6" s="481"/>
      <c r="D6" s="481"/>
      <c r="E6" s="481"/>
      <c r="F6" s="481"/>
      <c r="G6" s="482"/>
    </row>
    <row r="7" spans="1:7" ht="18" x14ac:dyDescent="0.2">
      <c r="A7" s="480">
        <v>45912</v>
      </c>
      <c r="B7" s="481">
        <v>157.22999999999999</v>
      </c>
      <c r="C7" s="481"/>
      <c r="D7" s="481"/>
      <c r="E7" s="481"/>
      <c r="F7" s="481"/>
      <c r="G7" s="482"/>
    </row>
    <row r="8" spans="1:7" ht="18" x14ac:dyDescent="0.2">
      <c r="A8" s="480">
        <v>45911</v>
      </c>
      <c r="B8" s="481">
        <v>150.57</v>
      </c>
      <c r="C8" s="481"/>
      <c r="D8" s="481"/>
      <c r="E8" s="481"/>
      <c r="F8" s="481"/>
      <c r="G8" s="482"/>
    </row>
    <row r="9" spans="1:7" ht="18" x14ac:dyDescent="0.2">
      <c r="A9" s="480">
        <v>45910</v>
      </c>
      <c r="B9" s="481">
        <v>140</v>
      </c>
      <c r="C9" s="481"/>
      <c r="D9" s="481"/>
      <c r="E9" s="481"/>
      <c r="F9" s="481"/>
      <c r="G9" s="482"/>
    </row>
    <row r="10" spans="1:7" ht="18" x14ac:dyDescent="0.2">
      <c r="A10" s="480">
        <v>45909</v>
      </c>
      <c r="B10" s="481">
        <v>135.24</v>
      </c>
      <c r="C10" s="481"/>
      <c r="D10" s="481"/>
      <c r="E10" s="481"/>
      <c r="F10" s="481"/>
      <c r="G10" s="482"/>
    </row>
    <row r="11" spans="1:7" ht="18" x14ac:dyDescent="0.2">
      <c r="A11" s="480">
        <v>45908</v>
      </c>
      <c r="B11" s="481">
        <v>131.46</v>
      </c>
      <c r="C11" s="481"/>
      <c r="D11" s="481"/>
      <c r="E11" s="481"/>
      <c r="F11" s="481"/>
      <c r="G11" s="482"/>
    </row>
    <row r="12" spans="1:7" ht="18" x14ac:dyDescent="0.2">
      <c r="A12" s="480">
        <v>45905</v>
      </c>
      <c r="B12" s="481">
        <v>131.37</v>
      </c>
      <c r="C12" s="481"/>
      <c r="D12" s="481"/>
      <c r="E12" s="481"/>
      <c r="F12" s="481"/>
      <c r="G12" s="482"/>
    </row>
    <row r="13" spans="1:7" ht="18" x14ac:dyDescent="0.2">
      <c r="A13" s="480">
        <v>45904</v>
      </c>
      <c r="B13" s="481">
        <v>124.21</v>
      </c>
      <c r="C13" s="481"/>
      <c r="D13" s="481"/>
      <c r="E13" s="481"/>
      <c r="F13" s="481"/>
      <c r="G13" s="482"/>
    </row>
    <row r="14" spans="1:7" ht="18" x14ac:dyDescent="0.2">
      <c r="A14" s="480">
        <v>45903</v>
      </c>
      <c r="B14" s="481">
        <v>118.72</v>
      </c>
      <c r="C14" s="481"/>
      <c r="D14" s="481"/>
      <c r="E14" s="481"/>
      <c r="F14" s="481"/>
      <c r="G14" s="482"/>
    </row>
    <row r="15" spans="1:7" ht="18" x14ac:dyDescent="0.2">
      <c r="A15" s="480">
        <v>45902</v>
      </c>
      <c r="B15" s="481">
        <v>118.48</v>
      </c>
      <c r="C15" s="481"/>
      <c r="D15" s="481"/>
      <c r="E15" s="481"/>
      <c r="F15" s="481"/>
      <c r="G15" s="482"/>
    </row>
    <row r="16" spans="1:7" ht="18" x14ac:dyDescent="0.2">
      <c r="A16" s="480">
        <v>45898</v>
      </c>
      <c r="B16" s="481">
        <v>119.01</v>
      </c>
      <c r="C16" s="481"/>
      <c r="D16" s="481"/>
      <c r="E16" s="481"/>
      <c r="F16" s="481"/>
      <c r="G16" s="482"/>
    </row>
    <row r="17" spans="1:7" ht="18" x14ac:dyDescent="0.2">
      <c r="A17" s="480">
        <v>45897</v>
      </c>
      <c r="B17" s="481">
        <v>122</v>
      </c>
      <c r="C17" s="481"/>
      <c r="D17" s="481"/>
      <c r="E17" s="481"/>
      <c r="F17" s="481"/>
      <c r="G17" s="482"/>
    </row>
    <row r="18" spans="1:7" ht="18" x14ac:dyDescent="0.2">
      <c r="A18" s="480">
        <v>45896</v>
      </c>
      <c r="B18" s="481">
        <v>117.75</v>
      </c>
      <c r="C18" s="481"/>
      <c r="D18" s="481"/>
      <c r="E18" s="481"/>
      <c r="F18" s="481"/>
      <c r="G18" s="482"/>
    </row>
    <row r="19" spans="1:7" ht="18" x14ac:dyDescent="0.2">
      <c r="A19" s="480">
        <v>45895</v>
      </c>
      <c r="B19" s="481">
        <v>116.5</v>
      </c>
      <c r="C19" s="481"/>
      <c r="D19" s="481"/>
      <c r="E19" s="481"/>
      <c r="F19" s="481"/>
      <c r="G19" s="482"/>
    </row>
    <row r="20" spans="1:7" ht="18" x14ac:dyDescent="0.2">
      <c r="A20" s="480">
        <v>45894</v>
      </c>
      <c r="B20" s="481">
        <v>116.42</v>
      </c>
      <c r="C20" s="481"/>
      <c r="D20" s="481"/>
      <c r="E20" s="481"/>
      <c r="F20" s="481"/>
      <c r="G20" s="482"/>
    </row>
    <row r="21" spans="1:7" ht="18" x14ac:dyDescent="0.2">
      <c r="A21" s="480">
        <v>45891</v>
      </c>
      <c r="B21" s="481">
        <v>117.68</v>
      </c>
      <c r="C21" s="481"/>
      <c r="D21" s="481"/>
      <c r="E21" s="481"/>
      <c r="F21" s="481"/>
      <c r="G21" s="482"/>
    </row>
    <row r="22" spans="1:7" ht="18" x14ac:dyDescent="0.2">
      <c r="A22" s="480">
        <v>45890</v>
      </c>
      <c r="B22" s="481">
        <v>115.79</v>
      </c>
      <c r="C22" s="481"/>
      <c r="D22" s="481"/>
      <c r="E22" s="481"/>
      <c r="F22" s="481"/>
      <c r="G22" s="482"/>
    </row>
    <row r="23" spans="1:7" ht="18" x14ac:dyDescent="0.2">
      <c r="A23" s="480">
        <v>45889</v>
      </c>
      <c r="B23" s="481">
        <v>117.21</v>
      </c>
      <c r="C23" s="481"/>
      <c r="D23" s="481"/>
      <c r="E23" s="481"/>
      <c r="F23" s="481"/>
      <c r="G23" s="482"/>
    </row>
    <row r="24" spans="1:7" ht="18" x14ac:dyDescent="0.2">
      <c r="A24" s="480">
        <v>45888</v>
      </c>
      <c r="B24" s="481">
        <v>122.05</v>
      </c>
      <c r="C24" s="481"/>
      <c r="D24" s="481"/>
      <c r="E24" s="481"/>
      <c r="F24" s="481"/>
      <c r="G24" s="482"/>
    </row>
    <row r="25" spans="1:7" ht="18" x14ac:dyDescent="0.2">
      <c r="A25" s="480">
        <v>45887</v>
      </c>
      <c r="B25" s="481">
        <v>123.55</v>
      </c>
      <c r="C25" s="481"/>
      <c r="D25" s="481"/>
      <c r="E25" s="481"/>
      <c r="F25" s="481"/>
      <c r="G25" s="482"/>
    </row>
    <row r="26" spans="1:7" ht="18" x14ac:dyDescent="0.2">
      <c r="A26" s="480">
        <v>45884</v>
      </c>
      <c r="B26" s="481">
        <v>120.87</v>
      </c>
      <c r="C26" s="481"/>
      <c r="D26" s="481"/>
      <c r="E26" s="481"/>
      <c r="F26" s="481"/>
      <c r="G26" s="482"/>
    </row>
    <row r="27" spans="1:7" ht="18" x14ac:dyDescent="0.2">
      <c r="A27" s="480">
        <v>45883</v>
      </c>
      <c r="B27" s="481">
        <v>125.29</v>
      </c>
      <c r="C27" s="481"/>
      <c r="D27" s="481"/>
      <c r="E27" s="481"/>
      <c r="F27" s="481"/>
      <c r="G27" s="482"/>
    </row>
    <row r="28" spans="1:7" ht="18" x14ac:dyDescent="0.2">
      <c r="A28" s="480">
        <v>45882</v>
      </c>
      <c r="B28" s="481">
        <v>124.27</v>
      </c>
      <c r="C28" s="481"/>
      <c r="D28" s="481"/>
      <c r="E28" s="481"/>
      <c r="F28" s="481"/>
      <c r="G28" s="482"/>
    </row>
    <row r="29" spans="1:7" ht="18" x14ac:dyDescent="0.2">
      <c r="A29" s="480">
        <v>45881</v>
      </c>
      <c r="B29" s="481">
        <v>127.75</v>
      </c>
      <c r="C29" s="481"/>
      <c r="D29" s="481"/>
      <c r="E29" s="481"/>
      <c r="F29" s="481"/>
      <c r="G29" s="482"/>
    </row>
    <row r="30" spans="1:7" ht="18" x14ac:dyDescent="0.2">
      <c r="A30" s="480">
        <v>45880</v>
      </c>
      <c r="B30" s="481">
        <v>123.72</v>
      </c>
      <c r="C30" s="481"/>
      <c r="D30" s="481"/>
      <c r="E30" s="481"/>
      <c r="F30" s="481"/>
      <c r="G30" s="482"/>
    </row>
    <row r="31" spans="1:7" ht="18" x14ac:dyDescent="0.2">
      <c r="A31" s="480">
        <v>45877</v>
      </c>
      <c r="B31" s="481">
        <v>118.89</v>
      </c>
      <c r="C31" s="481"/>
      <c r="D31" s="481"/>
      <c r="E31" s="481"/>
      <c r="F31" s="481"/>
      <c r="G31" s="482"/>
    </row>
    <row r="32" spans="1:7" ht="18" x14ac:dyDescent="0.2">
      <c r="A32" s="480">
        <v>45876</v>
      </c>
      <c r="B32" s="481">
        <v>111.87</v>
      </c>
      <c r="C32" s="481"/>
      <c r="D32" s="481"/>
      <c r="E32" s="481"/>
      <c r="F32" s="481"/>
      <c r="G32" s="482"/>
    </row>
    <row r="33" spans="1:7" ht="18" x14ac:dyDescent="0.2">
      <c r="A33" s="480">
        <v>45875</v>
      </c>
      <c r="B33" s="481">
        <v>108.78</v>
      </c>
      <c r="C33" s="481"/>
      <c r="D33" s="481"/>
      <c r="E33" s="481"/>
      <c r="F33" s="481"/>
      <c r="G33" s="482"/>
    </row>
    <row r="34" spans="1:7" ht="18" x14ac:dyDescent="0.2">
      <c r="A34" s="480">
        <v>45874</v>
      </c>
      <c r="B34" s="481">
        <v>109.06</v>
      </c>
      <c r="C34" s="481"/>
      <c r="D34" s="481"/>
      <c r="E34" s="481"/>
      <c r="F34" s="481"/>
      <c r="G34" s="482"/>
    </row>
    <row r="35" spans="1:7" ht="18" x14ac:dyDescent="0.2">
      <c r="A35" s="480">
        <v>45873</v>
      </c>
      <c r="B35" s="481">
        <v>107.77</v>
      </c>
      <c r="C35" s="481"/>
      <c r="D35" s="481"/>
      <c r="E35" s="481"/>
      <c r="F35" s="481"/>
      <c r="G35" s="482"/>
    </row>
    <row r="36" spans="1:7" ht="18" x14ac:dyDescent="0.2">
      <c r="A36" s="480">
        <v>45870</v>
      </c>
      <c r="B36" s="481">
        <v>104.88</v>
      </c>
      <c r="C36" s="481"/>
      <c r="D36" s="481"/>
      <c r="E36" s="481"/>
      <c r="F36" s="481"/>
      <c r="G36" s="482"/>
    </row>
    <row r="37" spans="1:7" ht="18" x14ac:dyDescent="0.2">
      <c r="A37" s="480">
        <v>45869</v>
      </c>
      <c r="B37" s="481">
        <v>109.14</v>
      </c>
      <c r="C37" s="481"/>
      <c r="D37" s="481"/>
      <c r="E37" s="481"/>
      <c r="F37" s="481"/>
      <c r="G37" s="482"/>
    </row>
    <row r="38" spans="1:7" ht="18" x14ac:dyDescent="0.2">
      <c r="A38" s="480">
        <v>45868</v>
      </c>
      <c r="B38" s="481">
        <v>114.74</v>
      </c>
      <c r="C38" s="481"/>
      <c r="D38" s="481"/>
      <c r="E38" s="481"/>
      <c r="F38" s="481"/>
      <c r="G38" s="482"/>
    </row>
    <row r="39" spans="1:7" ht="18" x14ac:dyDescent="0.2">
      <c r="A39" s="480">
        <v>45867</v>
      </c>
      <c r="B39" s="481">
        <v>111.96</v>
      </c>
      <c r="C39" s="481"/>
      <c r="D39" s="481"/>
      <c r="E39" s="481"/>
      <c r="F39" s="481"/>
      <c r="G39" s="482"/>
    </row>
    <row r="40" spans="1:7" ht="18" x14ac:dyDescent="0.2">
      <c r="A40" s="480">
        <v>45866</v>
      </c>
      <c r="B40" s="481">
        <v>111.25</v>
      </c>
      <c r="C40" s="481"/>
      <c r="D40" s="481"/>
      <c r="E40" s="481"/>
      <c r="F40" s="481"/>
      <c r="G40" s="482"/>
    </row>
    <row r="41" spans="1:7" ht="18" x14ac:dyDescent="0.2">
      <c r="A41" s="480">
        <v>45863</v>
      </c>
      <c r="B41" s="481">
        <v>111.26</v>
      </c>
      <c r="C41" s="481"/>
      <c r="D41" s="481"/>
      <c r="E41" s="481"/>
      <c r="F41" s="481"/>
      <c r="G41" s="482"/>
    </row>
    <row r="42" spans="1:7" ht="18" x14ac:dyDescent="0.2">
      <c r="A42" s="480">
        <v>45862</v>
      </c>
      <c r="B42" s="481">
        <v>111.73</v>
      </c>
      <c r="C42" s="481"/>
      <c r="D42" s="481"/>
      <c r="E42" s="481"/>
      <c r="F42" s="481"/>
      <c r="G42" s="482"/>
    </row>
    <row r="43" spans="1:7" ht="18" x14ac:dyDescent="0.2">
      <c r="A43" s="480">
        <v>45861</v>
      </c>
      <c r="B43" s="481">
        <v>109.83</v>
      </c>
      <c r="C43" s="481"/>
      <c r="D43" s="481"/>
      <c r="E43" s="481"/>
      <c r="F43" s="481"/>
      <c r="G43" s="482"/>
    </row>
    <row r="44" spans="1:7" ht="18" x14ac:dyDescent="0.2">
      <c r="A44" s="480">
        <v>45860</v>
      </c>
      <c r="B44" s="481">
        <v>109.22</v>
      </c>
      <c r="C44" s="481"/>
      <c r="D44" s="481"/>
      <c r="E44" s="481"/>
      <c r="F44" s="481"/>
      <c r="G44" s="482"/>
    </row>
    <row r="45" spans="1:7" ht="18" x14ac:dyDescent="0.2">
      <c r="A45" s="480">
        <v>45859</v>
      </c>
      <c r="B45" s="481">
        <v>113.23</v>
      </c>
      <c r="C45" s="481"/>
      <c r="D45" s="481"/>
      <c r="E45" s="481"/>
      <c r="F45" s="481"/>
      <c r="G45" s="482"/>
    </row>
    <row r="46" spans="1:7" ht="18" x14ac:dyDescent="0.2">
      <c r="A46" s="480">
        <v>45856</v>
      </c>
      <c r="B46" s="481">
        <v>114.39</v>
      </c>
      <c r="C46" s="481"/>
      <c r="D46" s="481"/>
      <c r="E46" s="481"/>
      <c r="F46" s="481"/>
      <c r="G46" s="482"/>
    </row>
    <row r="47" spans="1:7" ht="18" x14ac:dyDescent="0.2">
      <c r="A47" s="480">
        <v>45855</v>
      </c>
      <c r="B47" s="481">
        <v>113.26</v>
      </c>
      <c r="C47" s="481"/>
      <c r="D47" s="481"/>
      <c r="E47" s="481"/>
      <c r="F47" s="481"/>
      <c r="G47" s="482"/>
    </row>
    <row r="48" spans="1:7" ht="18" x14ac:dyDescent="0.2">
      <c r="A48" s="480">
        <v>45854</v>
      </c>
      <c r="B48" s="481">
        <v>116.43</v>
      </c>
      <c r="C48" s="481"/>
      <c r="D48" s="481"/>
      <c r="E48" s="481"/>
      <c r="F48" s="481"/>
      <c r="G48" s="482"/>
    </row>
    <row r="49" spans="1:7" ht="18" x14ac:dyDescent="0.2">
      <c r="A49" s="480">
        <v>45853</v>
      </c>
      <c r="B49" s="481">
        <v>120.11</v>
      </c>
      <c r="C49" s="481"/>
      <c r="D49" s="481"/>
      <c r="E49" s="481"/>
      <c r="F49" s="481"/>
      <c r="G49" s="482"/>
    </row>
    <row r="50" spans="1:7" ht="18" x14ac:dyDescent="0.2">
      <c r="A50" s="480">
        <v>45852</v>
      </c>
      <c r="B50" s="481">
        <v>118.61</v>
      </c>
      <c r="C50" s="481"/>
      <c r="D50" s="481"/>
      <c r="E50" s="481"/>
      <c r="F50" s="481"/>
      <c r="G50" s="482"/>
    </row>
    <row r="51" spans="1:7" ht="18" x14ac:dyDescent="0.2">
      <c r="A51" s="480">
        <v>45849</v>
      </c>
      <c r="B51" s="481">
        <v>124.53</v>
      </c>
      <c r="C51" s="481"/>
      <c r="D51" s="481"/>
      <c r="E51" s="481"/>
      <c r="F51" s="481"/>
      <c r="G51" s="482"/>
    </row>
    <row r="52" spans="1:7" ht="18" x14ac:dyDescent="0.2">
      <c r="A52" s="480">
        <v>45848</v>
      </c>
      <c r="B52" s="481">
        <v>123.11</v>
      </c>
      <c r="C52" s="481"/>
      <c r="D52" s="481"/>
      <c r="E52" s="481"/>
      <c r="F52" s="481"/>
      <c r="G52" s="482"/>
    </row>
    <row r="53" spans="1:7" ht="18" x14ac:dyDescent="0.2">
      <c r="A53" s="480">
        <v>45847</v>
      </c>
      <c r="B53" s="481">
        <v>122.24</v>
      </c>
      <c r="C53" s="481"/>
      <c r="D53" s="481"/>
      <c r="E53" s="481"/>
      <c r="F53" s="481"/>
      <c r="G53" s="482"/>
    </row>
    <row r="54" spans="1:7" ht="18" x14ac:dyDescent="0.2">
      <c r="A54" s="480">
        <v>45846</v>
      </c>
      <c r="B54" s="481">
        <v>124.42</v>
      </c>
      <c r="C54" s="481"/>
      <c r="D54" s="481"/>
      <c r="E54" s="481"/>
      <c r="F54" s="481"/>
      <c r="G54" s="482"/>
    </row>
    <row r="55" spans="1:7" ht="18" x14ac:dyDescent="0.2">
      <c r="A55" s="480">
        <v>45845</v>
      </c>
      <c r="B55" s="481">
        <v>119.92</v>
      </c>
      <c r="C55" s="481"/>
      <c r="D55" s="481"/>
      <c r="E55" s="481"/>
      <c r="F55" s="481"/>
      <c r="G55" s="482"/>
    </row>
    <row r="56" spans="1:7" ht="18" x14ac:dyDescent="0.2">
      <c r="A56" s="480">
        <v>45841</v>
      </c>
      <c r="B56" s="481">
        <v>122.29</v>
      </c>
      <c r="C56" s="481"/>
      <c r="D56" s="481"/>
      <c r="E56" s="481"/>
      <c r="F56" s="481"/>
      <c r="G56" s="482"/>
    </row>
    <row r="57" spans="1:7" ht="18" x14ac:dyDescent="0.2">
      <c r="A57" s="480">
        <v>45840</v>
      </c>
      <c r="B57" s="481">
        <v>121.74</v>
      </c>
      <c r="C57" s="481"/>
      <c r="D57" s="481"/>
      <c r="E57" s="481"/>
      <c r="F57" s="481"/>
      <c r="G57" s="482"/>
    </row>
    <row r="58" spans="1:7" ht="18" x14ac:dyDescent="0.2">
      <c r="A58" s="480">
        <v>45839</v>
      </c>
      <c r="B58" s="481">
        <v>120.89</v>
      </c>
      <c r="C58" s="481"/>
      <c r="D58" s="481"/>
      <c r="E58" s="481"/>
      <c r="F58" s="481"/>
      <c r="G58" s="482"/>
    </row>
    <row r="59" spans="1:7" ht="18" x14ac:dyDescent="0.2">
      <c r="A59" s="480">
        <v>45838</v>
      </c>
      <c r="B59" s="481">
        <v>123.25</v>
      </c>
      <c r="C59" s="481"/>
      <c r="D59" s="481"/>
      <c r="E59" s="481"/>
      <c r="F59" s="481"/>
      <c r="G59" s="482"/>
    </row>
    <row r="60" spans="1:7" ht="18" x14ac:dyDescent="0.2">
      <c r="A60" s="480">
        <v>45835</v>
      </c>
      <c r="B60" s="481">
        <v>124.76</v>
      </c>
      <c r="C60" s="481"/>
      <c r="D60" s="481"/>
      <c r="E60" s="481"/>
      <c r="F60" s="481"/>
      <c r="G60" s="482"/>
    </row>
    <row r="61" spans="1:7" ht="18" x14ac:dyDescent="0.2">
      <c r="A61" s="480">
        <v>45834</v>
      </c>
      <c r="B61" s="481">
        <v>126</v>
      </c>
      <c r="C61" s="481"/>
      <c r="D61" s="481"/>
      <c r="E61" s="481"/>
      <c r="F61" s="481"/>
      <c r="G61" s="482"/>
    </row>
    <row r="62" spans="1:7" ht="18" x14ac:dyDescent="0.2">
      <c r="A62" s="480">
        <v>45833</v>
      </c>
      <c r="B62" s="481">
        <v>127.25</v>
      </c>
      <c r="C62" s="481"/>
      <c r="D62" s="481"/>
      <c r="E62" s="481"/>
      <c r="F62" s="481"/>
      <c r="G62" s="482"/>
    </row>
    <row r="63" spans="1:7" ht="18" x14ac:dyDescent="0.2">
      <c r="A63" s="480">
        <v>45832</v>
      </c>
      <c r="B63" s="481">
        <v>127.91</v>
      </c>
      <c r="C63" s="481"/>
      <c r="D63" s="481"/>
      <c r="E63" s="481"/>
      <c r="F63" s="481"/>
      <c r="G63" s="482"/>
    </row>
    <row r="64" spans="1:7" ht="18" x14ac:dyDescent="0.2">
      <c r="A64" s="480">
        <v>45831</v>
      </c>
      <c r="B64" s="481">
        <v>122.08</v>
      </c>
      <c r="C64" s="481"/>
      <c r="D64" s="481"/>
      <c r="E64" s="481"/>
      <c r="F64" s="481"/>
      <c r="G64" s="482"/>
    </row>
    <row r="65" spans="1:7" ht="18" x14ac:dyDescent="0.2">
      <c r="A65" s="480">
        <v>45828</v>
      </c>
      <c r="B65" s="481">
        <v>123.6</v>
      </c>
      <c r="C65" s="481"/>
      <c r="D65" s="481"/>
      <c r="E65" s="481"/>
      <c r="F65" s="481"/>
      <c r="G65" s="482"/>
    </row>
    <row r="66" spans="1:7" ht="18" x14ac:dyDescent="0.2">
      <c r="A66" s="480">
        <v>45826</v>
      </c>
      <c r="B66" s="481">
        <v>121.82</v>
      </c>
      <c r="C66" s="481"/>
      <c r="D66" s="481"/>
      <c r="E66" s="481"/>
      <c r="F66" s="481"/>
      <c r="G66" s="482"/>
    </row>
    <row r="67" spans="1:7" ht="18" x14ac:dyDescent="0.2">
      <c r="A67" s="480">
        <v>45825</v>
      </c>
      <c r="B67" s="481">
        <v>120.34</v>
      </c>
      <c r="C67" s="481"/>
      <c r="D67" s="481"/>
      <c r="E67" s="481"/>
      <c r="F67" s="481"/>
      <c r="G67" s="482"/>
    </row>
    <row r="68" spans="1:7" ht="18" x14ac:dyDescent="0.2">
      <c r="A68" s="480">
        <v>45824</v>
      </c>
      <c r="B68" s="481">
        <v>119.84</v>
      </c>
      <c r="C68" s="481"/>
      <c r="D68" s="481"/>
      <c r="E68" s="481"/>
      <c r="F68" s="481"/>
      <c r="G68" s="482"/>
    </row>
    <row r="69" spans="1:7" ht="18" x14ac:dyDescent="0.2">
      <c r="A69" s="480">
        <v>45821</v>
      </c>
      <c r="B69" s="481">
        <v>115.6</v>
      </c>
      <c r="C69" s="481"/>
      <c r="D69" s="481"/>
      <c r="E69" s="481"/>
      <c r="F69" s="481"/>
      <c r="G69" s="482"/>
    </row>
    <row r="70" spans="1:7" ht="18" x14ac:dyDescent="0.2">
      <c r="A70" s="480">
        <v>45820</v>
      </c>
      <c r="B70" s="481">
        <v>116.18</v>
      </c>
      <c r="C70" s="481"/>
      <c r="D70" s="481"/>
      <c r="E70" s="481"/>
      <c r="F70" s="481"/>
      <c r="G70" s="482"/>
    </row>
    <row r="71" spans="1:7" ht="18" x14ac:dyDescent="0.2">
      <c r="A71" s="480">
        <v>45819</v>
      </c>
      <c r="B71" s="481">
        <v>116.03</v>
      </c>
      <c r="C71" s="481"/>
      <c r="D71" s="481"/>
      <c r="E71" s="481"/>
      <c r="F71" s="481"/>
      <c r="G71" s="482"/>
    </row>
    <row r="72" spans="1:7" ht="18" x14ac:dyDescent="0.2">
      <c r="A72" s="480">
        <v>45818</v>
      </c>
      <c r="B72" s="481">
        <v>114.14</v>
      </c>
      <c r="C72" s="481"/>
      <c r="D72" s="481"/>
      <c r="E72" s="481"/>
      <c r="F72" s="481"/>
      <c r="G72" s="482"/>
    </row>
    <row r="73" spans="1:7" ht="18" x14ac:dyDescent="0.2">
      <c r="A73" s="480">
        <v>45817</v>
      </c>
      <c r="B73" s="481">
        <v>110.95</v>
      </c>
      <c r="C73" s="481"/>
      <c r="D73" s="481"/>
      <c r="E73" s="481"/>
      <c r="F73" s="481"/>
      <c r="G73" s="482"/>
    </row>
    <row r="74" spans="1:7" ht="18" x14ac:dyDescent="0.2">
      <c r="A74" s="480">
        <v>45814</v>
      </c>
      <c r="B74" s="481">
        <v>108.56</v>
      </c>
      <c r="C74" s="481"/>
      <c r="D74" s="481"/>
      <c r="E74" s="481"/>
      <c r="F74" s="481"/>
      <c r="G74" s="482"/>
    </row>
    <row r="75" spans="1:7" ht="18" x14ac:dyDescent="0.2">
      <c r="A75" s="480">
        <v>45813</v>
      </c>
      <c r="B75" s="481">
        <v>106.29</v>
      </c>
      <c r="C75" s="481"/>
      <c r="D75" s="481"/>
      <c r="E75" s="481"/>
      <c r="F75" s="481"/>
      <c r="G75" s="482"/>
    </row>
    <row r="76" spans="1:7" ht="18" x14ac:dyDescent="0.2">
      <c r="A76" s="480">
        <v>45812</v>
      </c>
      <c r="B76" s="481">
        <v>103.25</v>
      </c>
      <c r="C76" s="481"/>
      <c r="D76" s="481"/>
      <c r="E76" s="481"/>
      <c r="F76" s="481"/>
      <c r="G76" s="482"/>
    </row>
    <row r="77" spans="1:7" ht="18" x14ac:dyDescent="0.2">
      <c r="A77" s="480">
        <v>45811</v>
      </c>
      <c r="B77" s="481">
        <v>102.25</v>
      </c>
      <c r="C77" s="481"/>
      <c r="D77" s="481"/>
      <c r="E77" s="481"/>
      <c r="F77" s="481"/>
      <c r="G77" s="482"/>
    </row>
    <row r="78" spans="1:7" ht="18" x14ac:dyDescent="0.2">
      <c r="A78" s="480">
        <v>45810</v>
      </c>
      <c r="B78" s="481">
        <v>98.18</v>
      </c>
      <c r="C78" s="481"/>
      <c r="D78" s="481"/>
      <c r="E78" s="481"/>
      <c r="F78" s="481"/>
      <c r="G78" s="482"/>
    </row>
    <row r="79" spans="1:7" ht="18" x14ac:dyDescent="0.2">
      <c r="A79" s="480">
        <v>45807</v>
      </c>
      <c r="B79" s="481">
        <v>94.46</v>
      </c>
      <c r="C79" s="481"/>
      <c r="D79" s="481"/>
      <c r="E79" s="481"/>
      <c r="F79" s="481"/>
      <c r="G79" s="482"/>
    </row>
    <row r="80" spans="1:7" ht="18" x14ac:dyDescent="0.2">
      <c r="A80" s="480">
        <v>45806</v>
      </c>
      <c r="B80" s="481">
        <v>96.8</v>
      </c>
      <c r="C80" s="481"/>
      <c r="D80" s="481"/>
      <c r="E80" s="481"/>
      <c r="F80" s="481"/>
      <c r="G80" s="482"/>
    </row>
    <row r="81" spans="1:7" ht="18" x14ac:dyDescent="0.2">
      <c r="A81" s="480">
        <v>45805</v>
      </c>
      <c r="B81" s="481">
        <v>96.18</v>
      </c>
      <c r="C81" s="481"/>
      <c r="D81" s="481"/>
      <c r="E81" s="481"/>
      <c r="F81" s="481"/>
      <c r="G81" s="482"/>
    </row>
    <row r="82" spans="1:7" ht="18" x14ac:dyDescent="0.2">
      <c r="A82" s="480">
        <v>45804</v>
      </c>
      <c r="B82" s="481">
        <v>96.38</v>
      </c>
      <c r="C82" s="481"/>
      <c r="D82" s="481"/>
      <c r="E82" s="481"/>
      <c r="F82" s="481"/>
      <c r="G82" s="482"/>
    </row>
    <row r="83" spans="1:7" ht="18" x14ac:dyDescent="0.2">
      <c r="A83" s="480">
        <v>45800</v>
      </c>
      <c r="B83" s="481">
        <v>93.37</v>
      </c>
      <c r="C83" s="481"/>
      <c r="D83" s="481"/>
      <c r="E83" s="481"/>
      <c r="F83" s="481"/>
      <c r="G83" s="482"/>
    </row>
    <row r="84" spans="1:7" ht="18" x14ac:dyDescent="0.2">
      <c r="A84" s="480">
        <v>45799</v>
      </c>
      <c r="B84" s="481">
        <v>94.83</v>
      </c>
      <c r="C84" s="481"/>
      <c r="D84" s="481"/>
      <c r="E84" s="481"/>
      <c r="F84" s="481"/>
      <c r="G84" s="482"/>
    </row>
    <row r="85" spans="1:7" ht="18" x14ac:dyDescent="0.2">
      <c r="A85" s="480">
        <v>45798</v>
      </c>
      <c r="B85" s="481">
        <v>95.84</v>
      </c>
      <c r="C85" s="481"/>
      <c r="D85" s="481"/>
      <c r="E85" s="481"/>
      <c r="F85" s="481"/>
      <c r="G85" s="482"/>
    </row>
    <row r="86" spans="1:7" ht="18" x14ac:dyDescent="0.2">
      <c r="A86" s="480">
        <v>45797</v>
      </c>
      <c r="B86" s="481">
        <v>98.1</v>
      </c>
      <c r="C86" s="481"/>
      <c r="D86" s="481"/>
      <c r="E86" s="481"/>
      <c r="F86" s="481"/>
      <c r="G86" s="482"/>
    </row>
    <row r="87" spans="1:7" ht="18" x14ac:dyDescent="0.2">
      <c r="A87" s="480">
        <v>45796</v>
      </c>
      <c r="B87" s="481">
        <v>98.65</v>
      </c>
      <c r="C87" s="481"/>
      <c r="D87" s="481"/>
      <c r="E87" s="481"/>
      <c r="F87" s="481"/>
      <c r="G87" s="482"/>
    </row>
    <row r="88" spans="1:7" ht="18" x14ac:dyDescent="0.2">
      <c r="A88" s="480">
        <v>45793</v>
      </c>
      <c r="B88" s="481">
        <v>98</v>
      </c>
      <c r="C88" s="481"/>
      <c r="D88" s="481"/>
      <c r="E88" s="481"/>
      <c r="F88" s="481"/>
      <c r="G88" s="482"/>
    </row>
    <row r="89" spans="1:7" ht="18" x14ac:dyDescent="0.2">
      <c r="A89" s="480">
        <v>45792</v>
      </c>
      <c r="B89" s="481">
        <v>95.45</v>
      </c>
      <c r="C89" s="481"/>
      <c r="D89" s="481"/>
      <c r="E89" s="481"/>
      <c r="F89" s="481"/>
      <c r="G89" s="482"/>
    </row>
    <row r="90" spans="1:7" ht="18" x14ac:dyDescent="0.2">
      <c r="A90" s="480">
        <v>45791</v>
      </c>
      <c r="B90" s="481">
        <v>95.32</v>
      </c>
      <c r="C90" s="481"/>
      <c r="D90" s="481"/>
      <c r="E90" s="481"/>
      <c r="F90" s="481"/>
      <c r="G90" s="482"/>
    </row>
    <row r="91" spans="1:7" ht="18" x14ac:dyDescent="0.2">
      <c r="A91" s="480">
        <v>45790</v>
      </c>
      <c r="B91" s="481">
        <v>96.93</v>
      </c>
      <c r="C91" s="481"/>
      <c r="D91" s="481"/>
      <c r="E91" s="481"/>
      <c r="F91" s="481"/>
      <c r="G91" s="482"/>
    </row>
    <row r="92" spans="1:7" ht="18" x14ac:dyDescent="0.2">
      <c r="A92" s="480">
        <v>45789</v>
      </c>
      <c r="B92" s="481">
        <v>92.29</v>
      </c>
      <c r="C92" s="481"/>
      <c r="D92" s="481"/>
      <c r="E92" s="481"/>
      <c r="F92" s="481"/>
      <c r="G92" s="482"/>
    </row>
    <row r="93" spans="1:7" ht="18" x14ac:dyDescent="0.2">
      <c r="A93" s="480">
        <v>45786</v>
      </c>
      <c r="B93" s="481">
        <v>85.86</v>
      </c>
      <c r="C93" s="481"/>
      <c r="D93" s="481"/>
      <c r="E93" s="481"/>
      <c r="F93" s="481"/>
      <c r="G93" s="482"/>
    </row>
    <row r="94" spans="1:7" ht="18" x14ac:dyDescent="0.2">
      <c r="A94" s="480">
        <v>45785</v>
      </c>
      <c r="B94" s="481">
        <v>85.15</v>
      </c>
      <c r="C94" s="481"/>
      <c r="D94" s="481"/>
      <c r="E94" s="481"/>
      <c r="F94" s="481"/>
      <c r="G94" s="482"/>
    </row>
    <row r="95" spans="1:7" ht="18" x14ac:dyDescent="0.2">
      <c r="A95" s="480">
        <v>45784</v>
      </c>
      <c r="B95" s="481">
        <v>82.62</v>
      </c>
      <c r="C95" s="481"/>
      <c r="D95" s="481"/>
      <c r="E95" s="481"/>
      <c r="F95" s="481"/>
      <c r="G95" s="482"/>
    </row>
    <row r="96" spans="1:7" ht="18" x14ac:dyDescent="0.2">
      <c r="A96" s="480">
        <v>45783</v>
      </c>
      <c r="B96" s="481">
        <v>80.510000000000005</v>
      </c>
      <c r="C96" s="481"/>
      <c r="D96" s="481"/>
      <c r="E96" s="481"/>
      <c r="F96" s="481"/>
      <c r="G96" s="482"/>
    </row>
    <row r="97" spans="1:7" ht="18" x14ac:dyDescent="0.2">
      <c r="A97" s="480">
        <v>45782</v>
      </c>
      <c r="B97" s="481">
        <v>80.42</v>
      </c>
      <c r="C97" s="481"/>
      <c r="D97" s="481"/>
      <c r="E97" s="481"/>
      <c r="F97" s="481"/>
      <c r="G97" s="482"/>
    </row>
    <row r="98" spans="1:7" ht="18" x14ac:dyDescent="0.2">
      <c r="A98" s="480">
        <v>45779</v>
      </c>
      <c r="B98" s="481">
        <v>80.72</v>
      </c>
      <c r="C98" s="481"/>
      <c r="D98" s="481"/>
      <c r="E98" s="481"/>
      <c r="F98" s="481"/>
      <c r="G98" s="482"/>
    </row>
    <row r="99" spans="1:7" ht="18" x14ac:dyDescent="0.2">
      <c r="A99" s="480">
        <v>45778</v>
      </c>
      <c r="B99" s="481">
        <v>77.77</v>
      </c>
      <c r="C99" s="481"/>
      <c r="D99" s="481"/>
      <c r="E99" s="481"/>
      <c r="F99" s="481"/>
      <c r="G99" s="482"/>
    </row>
    <row r="100" spans="1:7" ht="18" x14ac:dyDescent="0.2">
      <c r="A100" s="480">
        <v>45777</v>
      </c>
      <c r="B100" s="481">
        <v>76.95</v>
      </c>
      <c r="C100" s="481"/>
      <c r="D100" s="481"/>
      <c r="E100" s="481"/>
      <c r="F100" s="481"/>
      <c r="G100" s="482"/>
    </row>
    <row r="101" spans="1:7" ht="18" x14ac:dyDescent="0.2">
      <c r="A101" s="480">
        <v>45776</v>
      </c>
      <c r="B101" s="481">
        <v>76.88</v>
      </c>
      <c r="C101" s="481"/>
      <c r="D101" s="481"/>
      <c r="E101" s="481"/>
      <c r="F101" s="481"/>
      <c r="G101" s="482"/>
    </row>
    <row r="102" spans="1:7" ht="18" x14ac:dyDescent="0.2">
      <c r="A102" s="480">
        <v>45775</v>
      </c>
      <c r="B102" s="481">
        <v>78.56</v>
      </c>
      <c r="C102" s="481"/>
      <c r="D102" s="481"/>
      <c r="E102" s="481"/>
      <c r="F102" s="481"/>
      <c r="G102" s="482"/>
    </row>
    <row r="103" spans="1:7" ht="18" x14ac:dyDescent="0.2">
      <c r="A103" s="480">
        <v>45772</v>
      </c>
      <c r="B103" s="481">
        <v>79.78</v>
      </c>
      <c r="C103" s="481"/>
      <c r="D103" s="481"/>
      <c r="E103" s="481"/>
      <c r="F103" s="481"/>
      <c r="G103" s="482"/>
    </row>
    <row r="104" spans="1:7" ht="18" x14ac:dyDescent="0.2">
      <c r="A104" s="480">
        <v>45771</v>
      </c>
      <c r="B104" s="481">
        <v>77.42</v>
      </c>
      <c r="C104" s="481"/>
      <c r="D104" s="481"/>
      <c r="E104" s="481"/>
      <c r="F104" s="481"/>
      <c r="G104" s="482"/>
    </row>
    <row r="105" spans="1:7" ht="18" x14ac:dyDescent="0.2">
      <c r="A105" s="480">
        <v>45770</v>
      </c>
      <c r="B105" s="481">
        <v>72.930000000000007</v>
      </c>
      <c r="C105" s="481"/>
      <c r="D105" s="481"/>
      <c r="E105" s="481"/>
      <c r="F105" s="481"/>
      <c r="G105" s="482"/>
    </row>
    <row r="106" spans="1:7" ht="18" x14ac:dyDescent="0.2">
      <c r="A106" s="480">
        <v>45769</v>
      </c>
      <c r="B106" s="481">
        <v>70.209999999999994</v>
      </c>
      <c r="C106" s="481"/>
      <c r="D106" s="481"/>
      <c r="E106" s="481"/>
      <c r="F106" s="481"/>
      <c r="G106" s="482"/>
    </row>
    <row r="107" spans="1:7" ht="18" x14ac:dyDescent="0.2">
      <c r="A107" s="480">
        <v>45768</v>
      </c>
      <c r="B107" s="481">
        <v>66.739999999999995</v>
      </c>
      <c r="C107" s="481"/>
      <c r="D107" s="481"/>
      <c r="E107" s="481"/>
      <c r="F107" s="481"/>
      <c r="G107" s="482"/>
    </row>
    <row r="108" spans="1:7" ht="18" x14ac:dyDescent="0.2">
      <c r="A108" s="480">
        <v>45764</v>
      </c>
      <c r="B108" s="481">
        <v>68.8</v>
      </c>
      <c r="C108" s="481"/>
      <c r="D108" s="481"/>
      <c r="E108" s="481"/>
      <c r="F108" s="481"/>
      <c r="G108" s="482"/>
    </row>
    <row r="109" spans="1:7" ht="18" x14ac:dyDescent="0.2">
      <c r="A109" s="480">
        <v>45763</v>
      </c>
      <c r="B109" s="481">
        <v>69.33</v>
      </c>
      <c r="C109" s="481"/>
      <c r="D109" s="481"/>
      <c r="E109" s="481"/>
      <c r="F109" s="481"/>
      <c r="G109" s="482"/>
    </row>
    <row r="110" spans="1:7" ht="18" x14ac:dyDescent="0.2">
      <c r="A110" s="480">
        <v>45762</v>
      </c>
      <c r="B110" s="481">
        <v>71.040000000000006</v>
      </c>
      <c r="C110" s="481"/>
      <c r="D110" s="481"/>
      <c r="E110" s="481"/>
      <c r="F110" s="481"/>
      <c r="G110" s="482"/>
    </row>
    <row r="111" spans="1:7" ht="18" x14ac:dyDescent="0.2">
      <c r="A111" s="480">
        <v>45761</v>
      </c>
      <c r="B111" s="481">
        <v>71.02</v>
      </c>
      <c r="C111" s="481"/>
      <c r="D111" s="481"/>
      <c r="E111" s="481"/>
      <c r="F111" s="481"/>
      <c r="G111" s="482"/>
    </row>
    <row r="112" spans="1:7" ht="18" x14ac:dyDescent="0.2">
      <c r="A112" s="480">
        <v>45758</v>
      </c>
      <c r="B112" s="481">
        <v>69.55</v>
      </c>
      <c r="C112" s="481"/>
      <c r="D112" s="481"/>
      <c r="E112" s="481"/>
      <c r="F112" s="481"/>
      <c r="G112" s="482"/>
    </row>
    <row r="113" spans="1:7" ht="18" x14ac:dyDescent="0.2">
      <c r="A113" s="480">
        <v>45757</v>
      </c>
      <c r="B113" s="481">
        <v>70.05</v>
      </c>
      <c r="C113" s="481"/>
      <c r="D113" s="481"/>
      <c r="E113" s="481"/>
      <c r="F113" s="481"/>
      <c r="G113" s="482"/>
    </row>
    <row r="114" spans="1:7" ht="18" x14ac:dyDescent="0.2">
      <c r="A114" s="480">
        <v>45756</v>
      </c>
      <c r="B114" s="481">
        <v>77.87</v>
      </c>
      <c r="C114" s="481"/>
      <c r="D114" s="481"/>
      <c r="E114" s="481"/>
      <c r="F114" s="481"/>
      <c r="G114" s="482"/>
    </row>
    <row r="115" spans="1:7" ht="18" x14ac:dyDescent="0.2">
      <c r="A115" s="480">
        <v>45755</v>
      </c>
      <c r="B115" s="481">
        <v>65.540000000000006</v>
      </c>
      <c r="C115" s="481"/>
      <c r="D115" s="481"/>
      <c r="E115" s="481"/>
      <c r="F115" s="481"/>
      <c r="G115" s="482"/>
    </row>
    <row r="116" spans="1:7" ht="18" x14ac:dyDescent="0.2">
      <c r="A116" s="480">
        <v>45754</v>
      </c>
      <c r="B116" s="481">
        <v>68.37</v>
      </c>
      <c r="C116" s="481"/>
      <c r="D116" s="481"/>
      <c r="E116" s="481"/>
      <c r="F116" s="481"/>
      <c r="G116" s="482"/>
    </row>
    <row r="117" spans="1:7" ht="18" x14ac:dyDescent="0.2">
      <c r="A117" s="480">
        <v>45751</v>
      </c>
      <c r="B117" s="481">
        <v>64.72</v>
      </c>
      <c r="C117" s="481"/>
      <c r="D117" s="481"/>
      <c r="E117" s="481"/>
      <c r="F117" s="481"/>
      <c r="G117" s="482"/>
    </row>
    <row r="118" spans="1:7" ht="18" x14ac:dyDescent="0.2">
      <c r="A118" s="480">
        <v>45750</v>
      </c>
      <c r="B118" s="481">
        <v>74.34</v>
      </c>
      <c r="C118" s="481"/>
      <c r="D118" s="481"/>
      <c r="E118" s="481"/>
      <c r="F118" s="481"/>
      <c r="G118" s="482"/>
    </row>
    <row r="119" spans="1:7" ht="18" x14ac:dyDescent="0.2">
      <c r="A119" s="480">
        <v>45749</v>
      </c>
      <c r="B119" s="481">
        <v>88.6</v>
      </c>
      <c r="C119" s="481"/>
      <c r="D119" s="481"/>
      <c r="E119" s="481"/>
      <c r="F119" s="481"/>
      <c r="G119" s="482"/>
    </row>
    <row r="120" spans="1:7" ht="18" x14ac:dyDescent="0.2">
      <c r="A120" s="480">
        <v>45748</v>
      </c>
      <c r="B120" s="481">
        <v>88.71</v>
      </c>
      <c r="C120" s="481"/>
      <c r="D120" s="481"/>
      <c r="E120" s="481"/>
      <c r="F120" s="481"/>
      <c r="G120" s="482"/>
    </row>
    <row r="121" spans="1:7" ht="18" x14ac:dyDescent="0.2">
      <c r="A121" s="480">
        <v>45747</v>
      </c>
      <c r="B121" s="481">
        <v>86.89</v>
      </c>
      <c r="C121" s="481"/>
      <c r="D121" s="481"/>
      <c r="E121" s="481"/>
      <c r="F121" s="481"/>
      <c r="G121" s="482"/>
    </row>
    <row r="122" spans="1:7" ht="18" x14ac:dyDescent="0.2">
      <c r="A122" s="480">
        <v>45744</v>
      </c>
      <c r="B122" s="481">
        <v>88.44</v>
      </c>
      <c r="C122" s="481"/>
      <c r="D122" s="481"/>
      <c r="E122" s="481"/>
      <c r="F122" s="481"/>
      <c r="G122" s="482"/>
    </row>
    <row r="123" spans="1:7" ht="18" x14ac:dyDescent="0.2">
      <c r="A123" s="480">
        <v>45743</v>
      </c>
      <c r="B123" s="481">
        <v>91.16</v>
      </c>
      <c r="C123" s="481"/>
      <c r="D123" s="481"/>
      <c r="E123" s="481"/>
      <c r="F123" s="481"/>
      <c r="G123" s="482"/>
    </row>
    <row r="124" spans="1:7" ht="18" x14ac:dyDescent="0.2">
      <c r="A124" s="480">
        <v>45742</v>
      </c>
      <c r="B124" s="481">
        <v>92.13</v>
      </c>
      <c r="C124" s="481"/>
      <c r="D124" s="481"/>
      <c r="E124" s="481"/>
      <c r="F124" s="481"/>
      <c r="G124" s="482"/>
    </row>
    <row r="125" spans="1:7" ht="18" x14ac:dyDescent="0.2">
      <c r="A125" s="480">
        <v>45741</v>
      </c>
      <c r="B125" s="481">
        <v>94.18</v>
      </c>
      <c r="C125" s="481"/>
      <c r="D125" s="481"/>
      <c r="E125" s="481"/>
      <c r="F125" s="481"/>
      <c r="G125" s="482"/>
    </row>
    <row r="126" spans="1:7" ht="18" x14ac:dyDescent="0.2">
      <c r="A126" s="480">
        <v>45740</v>
      </c>
      <c r="B126" s="481">
        <v>96.94</v>
      </c>
      <c r="C126" s="481"/>
      <c r="D126" s="481"/>
      <c r="E126" s="481"/>
      <c r="F126" s="481"/>
      <c r="G126" s="482"/>
    </row>
    <row r="127" spans="1:7" ht="18" x14ac:dyDescent="0.2">
      <c r="A127" s="480">
        <v>45737</v>
      </c>
      <c r="B127" s="481">
        <v>94.72</v>
      </c>
      <c r="C127" s="481"/>
      <c r="D127" s="481"/>
      <c r="E127" s="481"/>
      <c r="F127" s="481"/>
      <c r="G127" s="482"/>
    </row>
    <row r="128" spans="1:7" ht="18" x14ac:dyDescent="0.2">
      <c r="A128" s="480">
        <v>45736</v>
      </c>
      <c r="B128" s="481">
        <v>103</v>
      </c>
      <c r="C128" s="481"/>
      <c r="D128" s="481"/>
      <c r="E128" s="481"/>
      <c r="F128" s="481"/>
      <c r="G128" s="482"/>
    </row>
    <row r="129" spans="1:7" ht="18" x14ac:dyDescent="0.2">
      <c r="A129" s="480">
        <v>45735</v>
      </c>
      <c r="B129" s="481">
        <v>102.06</v>
      </c>
      <c r="C129" s="481"/>
      <c r="D129" s="481"/>
      <c r="E129" s="481"/>
      <c r="F129" s="481"/>
      <c r="G129" s="482"/>
    </row>
    <row r="130" spans="1:7" ht="18" x14ac:dyDescent="0.2">
      <c r="A130" s="480"/>
      <c r="B130" s="481"/>
      <c r="C130" s="481"/>
      <c r="D130" s="481"/>
      <c r="E130" s="481"/>
      <c r="F130" s="481"/>
      <c r="G130" s="482"/>
    </row>
    <row r="131" spans="1:7" ht="18" x14ac:dyDescent="0.2">
      <c r="A131" s="480"/>
      <c r="B131" s="481"/>
      <c r="C131" s="481"/>
      <c r="D131" s="481"/>
      <c r="E131" s="481"/>
      <c r="F131" s="481"/>
      <c r="G131" s="482"/>
    </row>
    <row r="132" spans="1:7" ht="18" x14ac:dyDescent="0.2">
      <c r="A132" s="480"/>
      <c r="B132" s="481"/>
      <c r="C132" s="481"/>
      <c r="D132" s="481"/>
      <c r="E132" s="481"/>
      <c r="F132" s="481"/>
      <c r="G132" s="482"/>
    </row>
    <row r="133" spans="1:7" ht="18" x14ac:dyDescent="0.2">
      <c r="A133" s="480"/>
      <c r="B133" s="481"/>
      <c r="C133" s="481"/>
      <c r="D133" s="481"/>
      <c r="E133" s="481"/>
      <c r="F133" s="481"/>
      <c r="G133" s="482"/>
    </row>
    <row r="134" spans="1:7" ht="18" x14ac:dyDescent="0.2">
      <c r="A134" s="480"/>
      <c r="B134" s="481"/>
      <c r="C134" s="481"/>
      <c r="D134" s="481"/>
      <c r="E134" s="481"/>
      <c r="F134" s="481"/>
      <c r="G134" s="482"/>
    </row>
    <row r="135" spans="1:7" ht="18" x14ac:dyDescent="0.2">
      <c r="A135" s="480"/>
      <c r="B135" s="481"/>
      <c r="C135" s="481"/>
      <c r="D135" s="481"/>
      <c r="E135" s="481"/>
      <c r="F135" s="481"/>
      <c r="G135" s="482"/>
    </row>
    <row r="136" spans="1:7" ht="18" x14ac:dyDescent="0.2">
      <c r="A136" s="480"/>
      <c r="B136" s="481"/>
      <c r="C136" s="481"/>
      <c r="D136" s="481"/>
      <c r="E136" s="481"/>
      <c r="F136" s="481"/>
      <c r="G136" s="482"/>
    </row>
    <row r="137" spans="1:7" ht="18" x14ac:dyDescent="0.2">
      <c r="A137" s="480"/>
      <c r="B137" s="481"/>
      <c r="C137" s="481"/>
      <c r="D137" s="481"/>
      <c r="E137" s="481"/>
      <c r="F137" s="481"/>
      <c r="G137" s="482"/>
    </row>
    <row r="138" spans="1:7" ht="18" x14ac:dyDescent="0.2">
      <c r="A138" s="480"/>
      <c r="B138" s="481"/>
      <c r="C138" s="481"/>
      <c r="D138" s="481"/>
      <c r="E138" s="481"/>
      <c r="F138" s="481"/>
      <c r="G138" s="482"/>
    </row>
    <row r="139" spans="1:7" ht="18" x14ac:dyDescent="0.2">
      <c r="A139" s="480"/>
      <c r="B139" s="481"/>
      <c r="C139" s="481"/>
      <c r="D139" s="481"/>
      <c r="E139" s="481"/>
      <c r="F139" s="481"/>
      <c r="G139" s="482"/>
    </row>
    <row r="140" spans="1:7" ht="18" x14ac:dyDescent="0.2">
      <c r="A140" s="480"/>
      <c r="B140" s="481"/>
      <c r="C140" s="481"/>
      <c r="D140" s="481"/>
      <c r="E140" s="481"/>
      <c r="F140" s="481"/>
      <c r="G140" s="482"/>
    </row>
    <row r="141" spans="1:7" ht="18" x14ac:dyDescent="0.2">
      <c r="A141" s="480"/>
      <c r="B141" s="481"/>
      <c r="C141" s="481"/>
      <c r="D141" s="481"/>
      <c r="E141" s="481"/>
      <c r="F141" s="481"/>
      <c r="G141" s="482"/>
    </row>
    <row r="142" spans="1:7" ht="18" x14ac:dyDescent="0.2">
      <c r="A142" s="480"/>
      <c r="B142" s="481"/>
      <c r="C142" s="481"/>
      <c r="D142" s="481"/>
      <c r="E142" s="481"/>
      <c r="F142" s="481"/>
      <c r="G142" s="482"/>
    </row>
    <row r="143" spans="1:7" ht="18" x14ac:dyDescent="0.2">
      <c r="A143" s="480"/>
      <c r="B143" s="481"/>
      <c r="C143" s="481"/>
      <c r="D143" s="481"/>
      <c r="E143" s="481"/>
      <c r="F143" s="481"/>
      <c r="G143" s="482"/>
    </row>
    <row r="144" spans="1:7" ht="18" x14ac:dyDescent="0.2">
      <c r="A144" s="480"/>
      <c r="B144" s="481"/>
      <c r="C144" s="481"/>
      <c r="D144" s="481"/>
      <c r="E144" s="481"/>
      <c r="F144" s="481"/>
      <c r="G144" s="482"/>
    </row>
    <row r="145" spans="1:7" ht="18" x14ac:dyDescent="0.2">
      <c r="A145" s="480"/>
      <c r="B145" s="481"/>
      <c r="C145" s="481"/>
      <c r="D145" s="481"/>
      <c r="E145" s="481"/>
      <c r="F145" s="481"/>
      <c r="G145" s="482"/>
    </row>
    <row r="146" spans="1:7" ht="18" x14ac:dyDescent="0.2">
      <c r="A146" s="480"/>
      <c r="B146" s="481"/>
      <c r="C146" s="481"/>
      <c r="D146" s="481"/>
      <c r="E146" s="481"/>
      <c r="F146" s="481"/>
      <c r="G146" s="482"/>
    </row>
    <row r="147" spans="1:7" ht="18" x14ac:dyDescent="0.2">
      <c r="A147" s="480"/>
      <c r="B147" s="481"/>
      <c r="C147" s="481"/>
      <c r="D147" s="481"/>
      <c r="E147" s="481"/>
      <c r="F147" s="481"/>
      <c r="G147" s="482"/>
    </row>
    <row r="148" spans="1:7" ht="18" x14ac:dyDescent="0.2">
      <c r="A148" s="480"/>
      <c r="B148" s="481"/>
      <c r="C148" s="481"/>
      <c r="D148" s="481"/>
      <c r="E148" s="481"/>
      <c r="F148" s="481"/>
      <c r="G148" s="482"/>
    </row>
    <row r="149" spans="1:7" ht="18" x14ac:dyDescent="0.2">
      <c r="A149" s="480"/>
      <c r="B149" s="481"/>
      <c r="C149" s="481"/>
      <c r="D149" s="481"/>
      <c r="E149" s="481"/>
      <c r="F149" s="481"/>
      <c r="G149" s="482"/>
    </row>
    <row r="150" spans="1:7" ht="18" x14ac:dyDescent="0.2">
      <c r="A150" s="480"/>
      <c r="B150" s="481"/>
      <c r="C150" s="481"/>
      <c r="D150" s="481"/>
      <c r="E150" s="481"/>
      <c r="F150" s="481"/>
      <c r="G150" s="482"/>
    </row>
    <row r="151" spans="1:7" ht="18" x14ac:dyDescent="0.2">
      <c r="A151" s="480"/>
      <c r="B151" s="481"/>
      <c r="C151" s="481"/>
      <c r="D151" s="481"/>
      <c r="E151" s="481"/>
      <c r="F151" s="481"/>
      <c r="G151" s="482"/>
    </row>
    <row r="152" spans="1:7" ht="18" x14ac:dyDescent="0.2">
      <c r="A152" s="480"/>
      <c r="B152" s="481"/>
      <c r="C152" s="481"/>
      <c r="D152" s="481"/>
      <c r="E152" s="481"/>
      <c r="F152" s="481"/>
      <c r="G152" s="482"/>
    </row>
    <row r="153" spans="1:7" ht="18" x14ac:dyDescent="0.2">
      <c r="A153" s="480"/>
      <c r="B153" s="481"/>
      <c r="C153" s="481"/>
      <c r="D153" s="481"/>
      <c r="E153" s="481"/>
      <c r="F153" s="481"/>
      <c r="G153" s="482"/>
    </row>
    <row r="154" spans="1:7" ht="18" x14ac:dyDescent="0.2">
      <c r="A154" s="480"/>
      <c r="B154" s="481"/>
      <c r="C154" s="481"/>
      <c r="D154" s="481"/>
      <c r="E154" s="481"/>
      <c r="F154" s="481"/>
      <c r="G154" s="482"/>
    </row>
    <row r="155" spans="1:7" ht="18" x14ac:dyDescent="0.2">
      <c r="A155" s="480"/>
      <c r="B155" s="481"/>
      <c r="C155" s="481"/>
      <c r="D155" s="481"/>
      <c r="E155" s="481"/>
      <c r="F155" s="481"/>
      <c r="G155" s="482"/>
    </row>
    <row r="156" spans="1:7" ht="18" x14ac:dyDescent="0.2">
      <c r="A156" s="480"/>
      <c r="B156" s="481"/>
      <c r="C156" s="481"/>
      <c r="D156" s="481"/>
      <c r="E156" s="481"/>
      <c r="F156" s="481"/>
      <c r="G156" s="482"/>
    </row>
    <row r="157" spans="1:7" ht="18" x14ac:dyDescent="0.2">
      <c r="A157" s="480"/>
      <c r="B157" s="481"/>
      <c r="C157" s="481"/>
      <c r="D157" s="481"/>
      <c r="E157" s="481"/>
      <c r="F157" s="481"/>
      <c r="G157" s="482"/>
    </row>
    <row r="158" spans="1:7" ht="18" x14ac:dyDescent="0.2">
      <c r="A158" s="480"/>
      <c r="B158" s="481"/>
      <c r="C158" s="481"/>
      <c r="D158" s="481"/>
      <c r="E158" s="481"/>
      <c r="F158" s="481"/>
      <c r="G158" s="482"/>
    </row>
    <row r="159" spans="1:7" ht="18" x14ac:dyDescent="0.2">
      <c r="A159" s="480"/>
      <c r="B159" s="481"/>
      <c r="C159" s="481"/>
      <c r="D159" s="481"/>
      <c r="E159" s="481"/>
      <c r="F159" s="481"/>
      <c r="G159" s="482"/>
    </row>
    <row r="160" spans="1:7" ht="18" x14ac:dyDescent="0.2">
      <c r="A160" s="480"/>
      <c r="B160" s="481"/>
      <c r="C160" s="481"/>
      <c r="D160" s="481"/>
      <c r="E160" s="481"/>
      <c r="F160" s="481"/>
      <c r="G160" s="48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Valuation Project</vt:lpstr>
      <vt:lpstr>Comp Analysis</vt:lpstr>
      <vt:lpstr>Ke Related Data</vt:lpstr>
      <vt:lpstr>DCF Sensivity</vt:lpstr>
      <vt:lpstr>Comp Analysis Tables</vt:lpstr>
      <vt:lpstr>Tables &amp; Graphs</vt:lpstr>
      <vt:lpstr>Histroical preformance</vt:lpstr>
      <vt:lpstr>'Valuation Project'!TG_Cell</vt:lpstr>
      <vt:lpstr>'Valuation Project'!WACC_Cell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Bou Malhab</dc:creator>
  <cp:lastModifiedBy>Marc Bm</cp:lastModifiedBy>
  <dcterms:created xsi:type="dcterms:W3CDTF">2026-01-16T20:51:22Z</dcterms:created>
  <dcterms:modified xsi:type="dcterms:W3CDTF">2026-02-10T22:10:50Z</dcterms:modified>
</cp:coreProperties>
</file>