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hidePivotFieldList="1" defaultThemeVersion="166925"/>
  <mc:AlternateContent xmlns:mc="http://schemas.openxmlformats.org/markup-compatibility/2006">
    <mc:Choice Requires="x15">
      <x15ac:absPath xmlns:x15ac="http://schemas.microsoft.com/office/spreadsheetml/2010/11/ac" url="/Users/marcboumalhab/Desktop/Equity Research Projects/AVGO - Documents/"/>
    </mc:Choice>
  </mc:AlternateContent>
  <xr:revisionPtr revIDLastSave="0" documentId="13_ncr:1_{6B941366-351D-B44E-98BB-9A002ADACCF2}" xr6:coauthVersionLast="47" xr6:coauthVersionMax="47" xr10:uidLastSave="{00000000-0000-0000-0000-000000000000}"/>
  <bookViews>
    <workbookView xWindow="0" yWindow="0" windowWidth="28800" windowHeight="18000" activeTab="3" xr2:uid="{0D555BDA-1C85-2045-90C9-17E809750E0D}"/>
  </bookViews>
  <sheets>
    <sheet name="Valuation Project" sheetId="1" r:id="rId1"/>
    <sheet name="Valuation=Market" sheetId="14" r:id="rId2"/>
    <sheet name="Comp Analysis Template" sheetId="6" r:id="rId3"/>
    <sheet name="Ke Related Data" sheetId="4" r:id="rId4"/>
    <sheet name="Sensitivity Analysis" sheetId="17" state="hidden" r:id="rId5"/>
    <sheet name="Charts" sheetId="15" state="hidden" r:id="rId6"/>
    <sheet name="6 Month Preformace" sheetId="16" state="hidden" r:id="rId7"/>
  </sheets>
  <externalReferences>
    <externalReference r:id="rId8"/>
    <externalReference r:id="rId9"/>
  </externalReferences>
  <definedNames>
    <definedName name="_xlnm._FilterDatabase" localSheetId="6" hidden="1">'6 Month Preformace'!$A$1:$B$152</definedName>
    <definedName name="CIQWBGuid" hidden="1">"3c050262-fc74-4f67-a11c-f7554c7e9606"</definedName>
    <definedName name="CIQWBInfo" hidden="1">"{ ""CIQVersion"":""9.51.3510.3078"" }"</definedName>
    <definedName name="cr">[1]Assumptions!$D$33</definedName>
    <definedName name="dd">[1]Assumptions!$D$24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45512.2477314815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pe">[1]Assumptions!$D$36</definedName>
    <definedName name="po">[2]Assumptions!$D$36</definedName>
    <definedName name="pp">[1]Assumptions!$D$34</definedName>
    <definedName name="pq">[2]Assumptions!$D$34</definedName>
    <definedName name="scr">[1]Assumptions!$D$38</definedName>
    <definedName name="sdd">[1]Assumptions!$D$25</definedName>
    <definedName name="se">[2]Assumptions!$D$39</definedName>
    <definedName name="sgr">[1]Assumptions!$D$39</definedName>
    <definedName name="sp">[1]Assumptions!$D$37</definedName>
    <definedName name="spe">[1]Assumptions!$D$40</definedName>
    <definedName name="sq">[2]Assumptions!$D$38</definedName>
    <definedName name="sr">[2]Assumptions!$D$37</definedName>
    <definedName name="sre">[2]Assumptions!$D$40</definedName>
    <definedName name="sw">[2]Assumptions!$D$25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9" i="1" l="1"/>
  <c r="I11" i="15"/>
  <c r="J11" i="15"/>
  <c r="K11" i="15"/>
  <c r="L11" i="15"/>
  <c r="M11" i="15"/>
  <c r="N11" i="15"/>
  <c r="K19" i="15"/>
  <c r="L19" i="15"/>
  <c r="M19" i="15"/>
  <c r="N19" i="15"/>
  <c r="J19" i="15"/>
  <c r="K21" i="15"/>
  <c r="L21" i="15"/>
  <c r="M21" i="15"/>
  <c r="N21" i="15"/>
  <c r="J21" i="15"/>
  <c r="J22" i="15"/>
  <c r="K22" i="15"/>
  <c r="L22" i="15"/>
  <c r="M22" i="15"/>
  <c r="N22" i="15"/>
  <c r="J20" i="15"/>
  <c r="K20" i="15"/>
  <c r="L20" i="15"/>
  <c r="M20" i="15"/>
  <c r="N20" i="15"/>
  <c r="J18" i="15"/>
  <c r="K18" i="15"/>
  <c r="L18" i="15"/>
  <c r="M18" i="15"/>
  <c r="N18" i="15"/>
  <c r="J17" i="15"/>
  <c r="K17" i="15"/>
  <c r="L17" i="15"/>
  <c r="M17" i="15"/>
  <c r="N17" i="15"/>
  <c r="I17" i="15"/>
  <c r="I12" i="15"/>
  <c r="I13" i="15"/>
  <c r="I14" i="15"/>
  <c r="I15" i="15"/>
  <c r="N15" i="15"/>
  <c r="J15" i="15"/>
  <c r="K15" i="15"/>
  <c r="L15" i="15"/>
  <c r="M15" i="15"/>
  <c r="J14" i="15"/>
  <c r="K14" i="15"/>
  <c r="L14" i="15"/>
  <c r="M14" i="15"/>
  <c r="N14" i="15"/>
  <c r="J13" i="15"/>
  <c r="K13" i="15"/>
  <c r="L13" i="15"/>
  <c r="M13" i="15"/>
  <c r="N13" i="15"/>
  <c r="J12" i="15"/>
  <c r="K12" i="15"/>
  <c r="L12" i="15"/>
  <c r="M12" i="15"/>
  <c r="N12" i="15"/>
  <c r="N10" i="15"/>
  <c r="J10" i="15"/>
  <c r="K10" i="15"/>
  <c r="L10" i="15"/>
  <c r="M10" i="15"/>
  <c r="I10" i="15"/>
  <c r="D21" i="17"/>
  <c r="E21" i="17"/>
  <c r="F21" i="17"/>
  <c r="G21" i="17"/>
  <c r="C21" i="17"/>
  <c r="D20" i="17"/>
  <c r="E20" i="17"/>
  <c r="F20" i="17"/>
  <c r="G20" i="17"/>
  <c r="C20" i="17"/>
  <c r="D19" i="17"/>
  <c r="E19" i="17"/>
  <c r="F19" i="17"/>
  <c r="G19" i="17"/>
  <c r="D18" i="17"/>
  <c r="E18" i="17"/>
  <c r="F18" i="17"/>
  <c r="G18" i="17"/>
  <c r="D17" i="17"/>
  <c r="E17" i="17"/>
  <c r="F17" i="17"/>
  <c r="G17" i="17"/>
  <c r="C19" i="17"/>
  <c r="C18" i="17"/>
  <c r="C17" i="17"/>
  <c r="O288" i="1"/>
  <c r="O286" i="1"/>
  <c r="N313" i="1"/>
  <c r="E314" i="1"/>
  <c r="D314" i="1"/>
  <c r="O299" i="1"/>
  <c r="O313" i="1"/>
  <c r="R125" i="1"/>
  <c r="S125" i="1"/>
  <c r="T125" i="1"/>
  <c r="R151" i="1"/>
  <c r="S151" i="1"/>
  <c r="T151" i="1"/>
  <c r="E293" i="14"/>
  <c r="E318" i="14"/>
  <c r="D318" i="14"/>
  <c r="F4" i="6"/>
  <c r="E4" i="6" s="1"/>
  <c r="D24" i="1"/>
  <c r="E24" i="1"/>
  <c r="C24" i="1"/>
  <c r="D17" i="1"/>
  <c r="E17" i="1"/>
  <c r="C17" i="1"/>
  <c r="D317" i="1"/>
  <c r="E317" i="1"/>
  <c r="O325" i="14"/>
  <c r="N325" i="14"/>
  <c r="M325" i="14"/>
  <c r="L325" i="14"/>
  <c r="K325" i="14"/>
  <c r="J325" i="14"/>
  <c r="I325" i="14"/>
  <c r="H325" i="14"/>
  <c r="G325" i="14"/>
  <c r="F325" i="14"/>
  <c r="E325" i="14"/>
  <c r="D325" i="14"/>
  <c r="C325" i="14"/>
  <c r="O322" i="14"/>
  <c r="N322" i="14"/>
  <c r="O315" i="14"/>
  <c r="N315" i="14"/>
  <c r="E307" i="14"/>
  <c r="E302" i="14"/>
  <c r="E296" i="14"/>
  <c r="E297" i="14" s="1"/>
  <c r="E291" i="14"/>
  <c r="G279" i="14"/>
  <c r="H279" i="14" s="1"/>
  <c r="I279" i="14" s="1"/>
  <c r="J279" i="14" s="1"/>
  <c r="K279" i="14" s="1"/>
  <c r="L279" i="14" s="1"/>
  <c r="M279" i="14" s="1"/>
  <c r="N279" i="14" s="1"/>
  <c r="O279" i="14" s="1"/>
  <c r="O269" i="14"/>
  <c r="N269" i="14"/>
  <c r="M269" i="14"/>
  <c r="L269" i="14"/>
  <c r="K269" i="14"/>
  <c r="J269" i="14"/>
  <c r="I269" i="14"/>
  <c r="H269" i="14"/>
  <c r="G269" i="14"/>
  <c r="F269" i="14"/>
  <c r="C265" i="14"/>
  <c r="E259" i="14"/>
  <c r="O257" i="14"/>
  <c r="N257" i="14"/>
  <c r="M257" i="14"/>
  <c r="L257" i="14"/>
  <c r="K257" i="14"/>
  <c r="J257" i="14"/>
  <c r="I257" i="14"/>
  <c r="H257" i="14"/>
  <c r="G257" i="14"/>
  <c r="F257" i="14"/>
  <c r="E257" i="14"/>
  <c r="D257" i="14"/>
  <c r="C257" i="14"/>
  <c r="E248" i="14"/>
  <c r="D248" i="14"/>
  <c r="C248" i="14"/>
  <c r="C246" i="14"/>
  <c r="D244" i="14"/>
  <c r="D240" i="14"/>
  <c r="D246" i="14" s="1"/>
  <c r="C238" i="14"/>
  <c r="C237" i="14"/>
  <c r="D234" i="14"/>
  <c r="D238" i="14" s="1"/>
  <c r="D228" i="14"/>
  <c r="E228" i="14" s="1"/>
  <c r="F228" i="14" s="1"/>
  <c r="G228" i="14" s="1"/>
  <c r="C227" i="14"/>
  <c r="C224" i="14"/>
  <c r="C225" i="14" s="1"/>
  <c r="D223" i="14" s="1"/>
  <c r="O222" i="14"/>
  <c r="N222" i="14"/>
  <c r="M222" i="14"/>
  <c r="L222" i="14"/>
  <c r="K222" i="14"/>
  <c r="J222" i="14"/>
  <c r="I222" i="14"/>
  <c r="H222" i="14"/>
  <c r="G222" i="14"/>
  <c r="F222" i="14"/>
  <c r="E222" i="14"/>
  <c r="D222" i="14"/>
  <c r="C222" i="14"/>
  <c r="C219" i="14"/>
  <c r="C97" i="14" s="1"/>
  <c r="C212" i="14"/>
  <c r="C89" i="14" s="1"/>
  <c r="O207" i="14"/>
  <c r="N207" i="14"/>
  <c r="M207" i="14"/>
  <c r="L207" i="14"/>
  <c r="K207" i="14"/>
  <c r="J207" i="14"/>
  <c r="I207" i="14"/>
  <c r="H207" i="14"/>
  <c r="G207" i="14"/>
  <c r="F207" i="14"/>
  <c r="E207" i="14"/>
  <c r="D207" i="14"/>
  <c r="C207" i="14"/>
  <c r="C205" i="14"/>
  <c r="D199" i="14" s="1"/>
  <c r="D205" i="14" s="1"/>
  <c r="O198" i="14"/>
  <c r="N198" i="14"/>
  <c r="M198" i="14"/>
  <c r="L198" i="14"/>
  <c r="K198" i="14"/>
  <c r="J198" i="14"/>
  <c r="I198" i="14"/>
  <c r="H198" i="14"/>
  <c r="G198" i="14"/>
  <c r="F198" i="14"/>
  <c r="E198" i="14"/>
  <c r="D198" i="14"/>
  <c r="C198" i="14"/>
  <c r="C196" i="14"/>
  <c r="E191" i="14"/>
  <c r="E190" i="14" s="1"/>
  <c r="D191" i="14"/>
  <c r="D190" i="14" s="1"/>
  <c r="C191" i="14"/>
  <c r="C190" i="14" s="1"/>
  <c r="F189" i="14"/>
  <c r="F193" i="14" s="1"/>
  <c r="E189" i="14"/>
  <c r="E196" i="14" s="1"/>
  <c r="D189" i="14"/>
  <c r="D196" i="14" s="1"/>
  <c r="O188" i="14"/>
  <c r="N188" i="14"/>
  <c r="M188" i="14"/>
  <c r="L188" i="14"/>
  <c r="K188" i="14"/>
  <c r="J188" i="14"/>
  <c r="I188" i="14"/>
  <c r="H188" i="14"/>
  <c r="G188" i="14"/>
  <c r="F188" i="14"/>
  <c r="E188" i="14"/>
  <c r="D188" i="14"/>
  <c r="C188" i="14"/>
  <c r="F186" i="14"/>
  <c r="C185" i="14"/>
  <c r="C184" i="14"/>
  <c r="C179" i="14" s="1"/>
  <c r="F183" i="14"/>
  <c r="F19" i="14" s="1"/>
  <c r="E181" i="14"/>
  <c r="E96" i="14" s="1"/>
  <c r="D181" i="14"/>
  <c r="D96" i="14" s="1"/>
  <c r="C181" i="14"/>
  <c r="C96" i="14" s="1"/>
  <c r="E176" i="14"/>
  <c r="E86" i="14" s="1"/>
  <c r="O175" i="14"/>
  <c r="N175" i="14"/>
  <c r="M175" i="14"/>
  <c r="L175" i="14"/>
  <c r="K175" i="14"/>
  <c r="J175" i="14"/>
  <c r="I175" i="14"/>
  <c r="H175" i="14"/>
  <c r="G175" i="14"/>
  <c r="F175" i="14"/>
  <c r="O172" i="14"/>
  <c r="N172" i="14"/>
  <c r="M172" i="14"/>
  <c r="L172" i="14"/>
  <c r="K172" i="14"/>
  <c r="J172" i="14"/>
  <c r="I172" i="14"/>
  <c r="H172" i="14"/>
  <c r="G172" i="14"/>
  <c r="F172" i="14"/>
  <c r="E172" i="14"/>
  <c r="D172" i="14"/>
  <c r="C172" i="14"/>
  <c r="C166" i="14"/>
  <c r="F165" i="14"/>
  <c r="F163" i="14"/>
  <c r="E163" i="14"/>
  <c r="D163" i="14"/>
  <c r="O162" i="14"/>
  <c r="N162" i="14"/>
  <c r="M162" i="14"/>
  <c r="L162" i="14"/>
  <c r="K162" i="14"/>
  <c r="J162" i="14"/>
  <c r="I162" i="14"/>
  <c r="H162" i="14"/>
  <c r="G162" i="14"/>
  <c r="F162" i="14"/>
  <c r="E162" i="14"/>
  <c r="D162" i="14"/>
  <c r="C162" i="14"/>
  <c r="T150" i="14"/>
  <c r="E152" i="14" s="1"/>
  <c r="E160" i="14" s="1"/>
  <c r="S150" i="14"/>
  <c r="D152" i="14" s="1"/>
  <c r="D94" i="14" s="1"/>
  <c r="R150" i="14"/>
  <c r="C152" i="14" s="1"/>
  <c r="O146" i="14"/>
  <c r="N146" i="14"/>
  <c r="M146" i="14"/>
  <c r="L146" i="14"/>
  <c r="K146" i="14"/>
  <c r="J146" i="14"/>
  <c r="I146" i="14"/>
  <c r="H146" i="14"/>
  <c r="G146" i="14"/>
  <c r="F146" i="14"/>
  <c r="E146" i="14"/>
  <c r="T147" i="14" s="1"/>
  <c r="D146" i="14"/>
  <c r="S147" i="14" s="1"/>
  <c r="C146" i="14"/>
  <c r="R147" i="14" s="1"/>
  <c r="E143" i="14"/>
  <c r="D143" i="14"/>
  <c r="C143" i="14"/>
  <c r="C144" i="14" s="1"/>
  <c r="C140" i="14"/>
  <c r="C136" i="14"/>
  <c r="C125" i="14" s="1"/>
  <c r="F135" i="14"/>
  <c r="F265" i="14" s="1"/>
  <c r="E135" i="14"/>
  <c r="E265" i="14" s="1"/>
  <c r="D135" i="14"/>
  <c r="D265" i="14" s="1"/>
  <c r="O134" i="14"/>
  <c r="N134" i="14"/>
  <c r="M134" i="14"/>
  <c r="L134" i="14"/>
  <c r="K134" i="14"/>
  <c r="J134" i="14"/>
  <c r="I134" i="14"/>
  <c r="H134" i="14"/>
  <c r="G134" i="14"/>
  <c r="F134" i="14"/>
  <c r="E134" i="14"/>
  <c r="D134" i="14"/>
  <c r="C134" i="14"/>
  <c r="O133" i="14"/>
  <c r="N133" i="14"/>
  <c r="M133" i="14"/>
  <c r="L133" i="14"/>
  <c r="K133" i="14"/>
  <c r="J133" i="14"/>
  <c r="I133" i="14"/>
  <c r="H133" i="14"/>
  <c r="G133" i="14"/>
  <c r="F133" i="14"/>
  <c r="E133" i="14"/>
  <c r="T122" i="14" s="1"/>
  <c r="D133" i="14"/>
  <c r="S122" i="14" s="1"/>
  <c r="C133" i="14"/>
  <c r="R122" i="14" s="1"/>
  <c r="E127" i="14"/>
  <c r="D127" i="14"/>
  <c r="C127" i="14"/>
  <c r="T124" i="14"/>
  <c r="S124" i="14"/>
  <c r="R124" i="14"/>
  <c r="E123" i="14"/>
  <c r="E124" i="14" s="1"/>
  <c r="D123" i="14"/>
  <c r="D124" i="14" s="1"/>
  <c r="C123" i="14"/>
  <c r="C124" i="14" s="1"/>
  <c r="O120" i="14"/>
  <c r="N120" i="14"/>
  <c r="M120" i="14"/>
  <c r="L120" i="14"/>
  <c r="K120" i="14"/>
  <c r="J120" i="14"/>
  <c r="I120" i="14"/>
  <c r="H120" i="14"/>
  <c r="G120" i="14"/>
  <c r="F120" i="14"/>
  <c r="O119" i="14"/>
  <c r="N119" i="14"/>
  <c r="M119" i="14"/>
  <c r="L119" i="14"/>
  <c r="K119" i="14"/>
  <c r="J119" i="14"/>
  <c r="I119" i="14"/>
  <c r="H119" i="14"/>
  <c r="G119" i="14"/>
  <c r="F119" i="14"/>
  <c r="C115" i="14"/>
  <c r="E109" i="14"/>
  <c r="D109" i="14"/>
  <c r="C109" i="14"/>
  <c r="O104" i="14"/>
  <c r="N104" i="14"/>
  <c r="M104" i="14"/>
  <c r="L104" i="14"/>
  <c r="K104" i="14"/>
  <c r="J104" i="14"/>
  <c r="I104" i="14"/>
  <c r="H104" i="14"/>
  <c r="G104" i="14"/>
  <c r="F104" i="14"/>
  <c r="E104" i="14"/>
  <c r="D104" i="14"/>
  <c r="C104" i="14"/>
  <c r="E93" i="14"/>
  <c r="D93" i="14"/>
  <c r="C93" i="14"/>
  <c r="E92" i="14"/>
  <c r="D92" i="14"/>
  <c r="C92" i="14"/>
  <c r="E87" i="14"/>
  <c r="D87" i="14"/>
  <c r="C87" i="14"/>
  <c r="D86" i="14"/>
  <c r="C86" i="14"/>
  <c r="E85" i="14"/>
  <c r="D85" i="14"/>
  <c r="C85" i="14"/>
  <c r="E82" i="14"/>
  <c r="D82" i="14"/>
  <c r="C82" i="14"/>
  <c r="E81" i="14"/>
  <c r="D81" i="14"/>
  <c r="C81" i="14"/>
  <c r="E80" i="14"/>
  <c r="D80" i="14"/>
  <c r="C80" i="14"/>
  <c r="E79" i="14"/>
  <c r="D79" i="14"/>
  <c r="C79" i="14"/>
  <c r="O77" i="14"/>
  <c r="N77" i="14"/>
  <c r="M77" i="14"/>
  <c r="L77" i="14"/>
  <c r="K77" i="14"/>
  <c r="J77" i="14"/>
  <c r="I77" i="14"/>
  <c r="H77" i="14"/>
  <c r="G77" i="14"/>
  <c r="F77" i="14"/>
  <c r="E77" i="14"/>
  <c r="D77" i="14"/>
  <c r="C77" i="14"/>
  <c r="E75" i="14"/>
  <c r="E22" i="14" s="1"/>
  <c r="E106" i="14" s="1"/>
  <c r="D75" i="14"/>
  <c r="D22" i="14" s="1"/>
  <c r="D106" i="14" s="1"/>
  <c r="C75" i="14"/>
  <c r="C22" i="14" s="1"/>
  <c r="C106" i="14" s="1"/>
  <c r="E72" i="14"/>
  <c r="E20" i="14" s="1"/>
  <c r="D72" i="14"/>
  <c r="D20" i="14" s="1"/>
  <c r="C72" i="14"/>
  <c r="C20" i="14" s="1"/>
  <c r="C260" i="14" s="1"/>
  <c r="E71" i="14"/>
  <c r="E31" i="14" s="1"/>
  <c r="E46" i="14" s="1"/>
  <c r="D71" i="14"/>
  <c r="D31" i="14" s="1"/>
  <c r="C71" i="14"/>
  <c r="C31" i="14" s="1"/>
  <c r="E67" i="14"/>
  <c r="E68" i="14" s="1"/>
  <c r="E27" i="14" s="1"/>
  <c r="D67" i="14"/>
  <c r="D68" i="14" s="1"/>
  <c r="D27" i="14" s="1"/>
  <c r="C67" i="14"/>
  <c r="C68" i="14" s="1"/>
  <c r="C27" i="14" s="1"/>
  <c r="E64" i="14"/>
  <c r="E18" i="14" s="1"/>
  <c r="E44" i="14" s="1"/>
  <c r="D64" i="14"/>
  <c r="D18" i="14" s="1"/>
  <c r="C64" i="14"/>
  <c r="C18" i="14" s="1"/>
  <c r="C44" i="14" s="1"/>
  <c r="E59" i="14"/>
  <c r="E17" i="14" s="1"/>
  <c r="D59" i="14"/>
  <c r="D17" i="14" s="1"/>
  <c r="C59" i="14"/>
  <c r="C17" i="14" s="1"/>
  <c r="E55" i="14"/>
  <c r="E11" i="14" s="1"/>
  <c r="E12" i="14" s="1"/>
  <c r="E38" i="14" s="1"/>
  <c r="D55" i="14"/>
  <c r="D11" i="14" s="1"/>
  <c r="D12" i="14" s="1"/>
  <c r="D38" i="14" s="1"/>
  <c r="C55" i="14"/>
  <c r="C11" i="14" s="1"/>
  <c r="C12" i="14" s="1"/>
  <c r="C38" i="14" s="1"/>
  <c r="E52" i="14"/>
  <c r="E7" i="14" s="1"/>
  <c r="D52" i="14"/>
  <c r="D7" i="14" s="1"/>
  <c r="C52" i="14"/>
  <c r="C7" i="14" s="1"/>
  <c r="S50" i="14"/>
  <c r="E36" i="14"/>
  <c r="D36" i="14"/>
  <c r="O34" i="14"/>
  <c r="O49" i="14" s="1"/>
  <c r="N34" i="14"/>
  <c r="N49" i="14" s="1"/>
  <c r="M34" i="14"/>
  <c r="M49" i="14" s="1"/>
  <c r="L34" i="14"/>
  <c r="L49" i="14" s="1"/>
  <c r="K34" i="14"/>
  <c r="K49" i="14" s="1"/>
  <c r="J34" i="14"/>
  <c r="J49" i="14" s="1"/>
  <c r="I34" i="14"/>
  <c r="I49" i="14" s="1"/>
  <c r="H34" i="14"/>
  <c r="H49" i="14" s="1"/>
  <c r="G34" i="14"/>
  <c r="G49" i="14" s="1"/>
  <c r="F34" i="14"/>
  <c r="F49" i="14" s="1"/>
  <c r="E34" i="14"/>
  <c r="E49" i="14" s="1"/>
  <c r="D34" i="14"/>
  <c r="D49" i="14" s="1"/>
  <c r="C34" i="14"/>
  <c r="C49" i="14" s="1"/>
  <c r="E26" i="14"/>
  <c r="D26" i="14"/>
  <c r="C26" i="14"/>
  <c r="O23" i="14"/>
  <c r="O108" i="14" s="1"/>
  <c r="N23" i="14"/>
  <c r="N108" i="14" s="1"/>
  <c r="M23" i="14"/>
  <c r="M108" i="14" s="1"/>
  <c r="L23" i="14"/>
  <c r="L108" i="14" s="1"/>
  <c r="K23" i="14"/>
  <c r="K108" i="14" s="1"/>
  <c r="J23" i="14"/>
  <c r="J108" i="14" s="1"/>
  <c r="I23" i="14"/>
  <c r="I108" i="14" s="1"/>
  <c r="H23" i="14"/>
  <c r="H108" i="14" s="1"/>
  <c r="G23" i="14"/>
  <c r="G108" i="14" s="1"/>
  <c r="F23" i="14"/>
  <c r="F108" i="14" s="1"/>
  <c r="E23" i="14"/>
  <c r="E108" i="14" s="1"/>
  <c r="D23" i="14"/>
  <c r="D108" i="14" s="1"/>
  <c r="C23" i="14"/>
  <c r="C108" i="14" s="1"/>
  <c r="E19" i="14"/>
  <c r="D19" i="14"/>
  <c r="C19" i="14"/>
  <c r="E14" i="14"/>
  <c r="C14" i="14"/>
  <c r="F10" i="14"/>
  <c r="F6" i="14"/>
  <c r="F8" i="14" s="1"/>
  <c r="F7" i="14" s="1"/>
  <c r="D6" i="14"/>
  <c r="E35" i="14" s="1"/>
  <c r="D247" i="1"/>
  <c r="E247" i="1"/>
  <c r="C247" i="1"/>
  <c r="O314" i="1"/>
  <c r="D227" i="14" l="1"/>
  <c r="C15" i="14"/>
  <c r="C158" i="14" s="1"/>
  <c r="C88" i="14"/>
  <c r="D15" i="14"/>
  <c r="D156" i="14" s="1"/>
  <c r="D215" i="14"/>
  <c r="D219" i="14" s="1"/>
  <c r="D97" i="14" s="1"/>
  <c r="R123" i="14"/>
  <c r="R125" i="14" s="1"/>
  <c r="C107" i="14" s="1"/>
  <c r="C16" i="14"/>
  <c r="C21" i="14" s="1"/>
  <c r="C45" i="14"/>
  <c r="E15" i="14"/>
  <c r="E16" i="14" s="1"/>
  <c r="E21" i="14" s="1"/>
  <c r="E45" i="14"/>
  <c r="C46" i="14"/>
  <c r="F143" i="14"/>
  <c r="F26" i="14" s="1"/>
  <c r="C160" i="14"/>
  <c r="F22" i="14"/>
  <c r="F275" i="14" s="1"/>
  <c r="E39" i="14"/>
  <c r="C230" i="14"/>
  <c r="C231" i="14" s="1"/>
  <c r="D229" i="14" s="1"/>
  <c r="D95" i="14"/>
  <c r="F173" i="14"/>
  <c r="D144" i="14"/>
  <c r="D35" i="14"/>
  <c r="E144" i="14"/>
  <c r="D208" i="14"/>
  <c r="D212" i="14" s="1"/>
  <c r="D89" i="14" s="1"/>
  <c r="E199" i="14"/>
  <c r="E205" i="14" s="1"/>
  <c r="D88" i="14"/>
  <c r="F178" i="14"/>
  <c r="F184" i="14" s="1"/>
  <c r="F271" i="14" s="1"/>
  <c r="E153" i="14"/>
  <c r="E295" i="14"/>
  <c r="C40" i="14"/>
  <c r="C39" i="14"/>
  <c r="E94" i="14"/>
  <c r="E95" i="14" s="1"/>
  <c r="C8" i="14"/>
  <c r="C37" i="14" s="1"/>
  <c r="D237" i="14"/>
  <c r="E234" i="14" s="1"/>
  <c r="E238" i="14" s="1"/>
  <c r="E40" i="14"/>
  <c r="E177" i="14"/>
  <c r="C156" i="14"/>
  <c r="E260" i="14"/>
  <c r="T123" i="14"/>
  <c r="T125" i="14" s="1"/>
  <c r="E107" i="14" s="1"/>
  <c r="F12" i="14"/>
  <c r="F11" i="14" s="1"/>
  <c r="F15" i="14" s="1"/>
  <c r="G10" i="14"/>
  <c r="D8" i="14"/>
  <c r="D37" i="14" s="1"/>
  <c r="C153" i="14"/>
  <c r="C94" i="14"/>
  <c r="C95" i="14" s="1"/>
  <c r="E8" i="14"/>
  <c r="E37" i="14" s="1"/>
  <c r="D260" i="14"/>
  <c r="S123" i="14"/>
  <c r="S125" i="14" s="1"/>
  <c r="D107" i="14" s="1"/>
  <c r="D44" i="14"/>
  <c r="F14" i="14"/>
  <c r="G6" i="14"/>
  <c r="D14" i="14"/>
  <c r="D160" i="14" s="1"/>
  <c r="C157" i="14"/>
  <c r="C159" i="14"/>
  <c r="C195" i="14"/>
  <c r="C155" i="14"/>
  <c r="E157" i="14"/>
  <c r="N317" i="14"/>
  <c r="E155" i="14"/>
  <c r="E195" i="14"/>
  <c r="E159" i="14"/>
  <c r="H228" i="14"/>
  <c r="D153" i="14"/>
  <c r="G183" i="14"/>
  <c r="E303" i="14"/>
  <c r="E304" i="14" s="1"/>
  <c r="E306" i="14" s="1"/>
  <c r="E308" i="14" s="1"/>
  <c r="E288" i="14" s="1"/>
  <c r="C180" i="14"/>
  <c r="D178" i="14"/>
  <c r="C177" i="14"/>
  <c r="E178" i="14"/>
  <c r="D177" i="14"/>
  <c r="G186" i="14"/>
  <c r="D136" i="14"/>
  <c r="D125" i="14" s="1"/>
  <c r="E136" i="14"/>
  <c r="E125" i="14" s="1"/>
  <c r="D245" i="14"/>
  <c r="D220" i="14" l="1"/>
  <c r="E215" i="14"/>
  <c r="E219" i="14" s="1"/>
  <c r="E220" i="14" s="1"/>
  <c r="E158" i="14"/>
  <c r="D39" i="14"/>
  <c r="E156" i="14"/>
  <c r="D158" i="14"/>
  <c r="D213" i="14"/>
  <c r="C326" i="14"/>
  <c r="C253" i="14"/>
  <c r="C24" i="14"/>
  <c r="C28" i="14" s="1"/>
  <c r="C252" i="14"/>
  <c r="F106" i="14"/>
  <c r="C249" i="14"/>
  <c r="C98" i="14" s="1"/>
  <c r="C99" i="14" s="1"/>
  <c r="E154" i="14"/>
  <c r="C251" i="14"/>
  <c r="C334" i="14" s="1"/>
  <c r="E237" i="14"/>
  <c r="F234" i="14" s="1"/>
  <c r="F237" i="14" s="1"/>
  <c r="G234" i="14" s="1"/>
  <c r="E208" i="14"/>
  <c r="E212" i="14" s="1"/>
  <c r="E213" i="14" s="1"/>
  <c r="D154" i="14"/>
  <c r="F179" i="14"/>
  <c r="F181" i="14" s="1"/>
  <c r="G178" i="14" s="1"/>
  <c r="G184" i="14" s="1"/>
  <c r="G271" i="14" s="1"/>
  <c r="F174" i="14"/>
  <c r="F176" i="14" s="1"/>
  <c r="F177" i="14" s="1"/>
  <c r="F199" i="14"/>
  <c r="F205" i="14" s="1"/>
  <c r="E88" i="14"/>
  <c r="F150" i="14"/>
  <c r="F148" i="14"/>
  <c r="D184" i="14"/>
  <c r="D179" i="14" s="1"/>
  <c r="D180" i="14" s="1"/>
  <c r="D185" i="14"/>
  <c r="G12" i="14"/>
  <c r="G11" i="14"/>
  <c r="H10" i="14"/>
  <c r="F192" i="14"/>
  <c r="F151" i="14"/>
  <c r="F18" i="14"/>
  <c r="F149" i="14"/>
  <c r="F147" i="14"/>
  <c r="F41" i="14"/>
  <c r="F16" i="14"/>
  <c r="F20" i="14"/>
  <c r="F27" i="14"/>
  <c r="F152" i="14"/>
  <c r="F94" i="14" s="1"/>
  <c r="F31" i="14"/>
  <c r="D157" i="14"/>
  <c r="D159" i="14"/>
  <c r="D195" i="14"/>
  <c r="D155" i="14"/>
  <c r="D16" i="14"/>
  <c r="D21" i="14" s="1"/>
  <c r="H186" i="14"/>
  <c r="D46" i="14"/>
  <c r="F215" i="14"/>
  <c r="F219" i="14" s="1"/>
  <c r="E97" i="14"/>
  <c r="G14" i="14"/>
  <c r="G8" i="14"/>
  <c r="G7" i="14" s="1"/>
  <c r="H6" i="14"/>
  <c r="E184" i="14"/>
  <c r="E179" i="14" s="1"/>
  <c r="E180" i="14" s="1"/>
  <c r="E185" i="14"/>
  <c r="E253" i="14"/>
  <c r="E326" i="14"/>
  <c r="E251" i="14"/>
  <c r="E334" i="14" s="1"/>
  <c r="O299" i="14"/>
  <c r="O317" i="14"/>
  <c r="E24" i="14"/>
  <c r="E240" i="14"/>
  <c r="H183" i="14"/>
  <c r="G19" i="14"/>
  <c r="D40" i="14"/>
  <c r="I228" i="14"/>
  <c r="D45" i="14"/>
  <c r="F96" i="14" l="1"/>
  <c r="F238" i="14"/>
  <c r="C255" i="14"/>
  <c r="C254" i="14"/>
  <c r="C335" i="14" s="1"/>
  <c r="E252" i="14"/>
  <c r="F86" i="14"/>
  <c r="G173" i="14"/>
  <c r="E89" i="14"/>
  <c r="F208" i="14"/>
  <c r="F212" i="14" s="1"/>
  <c r="G199" i="14"/>
  <c r="G205" i="14" s="1"/>
  <c r="F88" i="14"/>
  <c r="G15" i="14"/>
  <c r="G16" i="14" s="1"/>
  <c r="G238" i="14"/>
  <c r="G237" i="14"/>
  <c r="H234" i="14" s="1"/>
  <c r="G192" i="14"/>
  <c r="G149" i="14"/>
  <c r="G147" i="14"/>
  <c r="G41" i="14"/>
  <c r="G152" i="14"/>
  <c r="G94" i="14" s="1"/>
  <c r="G31" i="14"/>
  <c r="G20" i="14"/>
  <c r="G27" i="14"/>
  <c r="G18" i="14"/>
  <c r="G151" i="14"/>
  <c r="I186" i="14"/>
  <c r="F260" i="14"/>
  <c r="F107" i="14"/>
  <c r="H12" i="14"/>
  <c r="H11" i="14" s="1"/>
  <c r="I10" i="14"/>
  <c r="F42" i="14"/>
  <c r="F43" i="14" s="1"/>
  <c r="F17" i="14" s="1"/>
  <c r="F21" i="14" s="1"/>
  <c r="F111" i="14"/>
  <c r="F153" i="14"/>
  <c r="F154" i="14" s="1"/>
  <c r="F277" i="14" s="1"/>
  <c r="F80" i="14"/>
  <c r="F115" i="14"/>
  <c r="F82" i="14"/>
  <c r="G179" i="14"/>
  <c r="G181" i="14" s="1"/>
  <c r="F220" i="14"/>
  <c r="G215" i="14"/>
  <c r="G219" i="14" s="1"/>
  <c r="F97" i="14"/>
  <c r="F114" i="14"/>
  <c r="F93" i="14"/>
  <c r="G174" i="14"/>
  <c r="F191" i="14"/>
  <c r="F190" i="14" s="1"/>
  <c r="F121" i="14"/>
  <c r="F194" i="14"/>
  <c r="J228" i="14"/>
  <c r="E246" i="14"/>
  <c r="E245" i="14"/>
  <c r="C47" i="14"/>
  <c r="C30" i="14"/>
  <c r="C32" i="14" s="1"/>
  <c r="F112" i="14"/>
  <c r="F81" i="14"/>
  <c r="D326" i="14"/>
  <c r="D251" i="14"/>
  <c r="D334" i="14" s="1"/>
  <c r="D253" i="14"/>
  <c r="D252" i="14"/>
  <c r="D24" i="14"/>
  <c r="I183" i="14"/>
  <c r="H19" i="14"/>
  <c r="E28" i="14"/>
  <c r="H14" i="14"/>
  <c r="H8" i="14"/>
  <c r="H7" i="14" s="1"/>
  <c r="I6" i="14"/>
  <c r="F92" i="14"/>
  <c r="F113" i="14"/>
  <c r="G176" i="14" l="1"/>
  <c r="G148" i="14"/>
  <c r="F95" i="14"/>
  <c r="G150" i="14"/>
  <c r="F213" i="14"/>
  <c r="F89" i="14"/>
  <c r="G208" i="14"/>
  <c r="G212" i="14" s="1"/>
  <c r="F116" i="14"/>
  <c r="H199" i="14"/>
  <c r="H205" i="14" s="1"/>
  <c r="G88" i="14"/>
  <c r="H178" i="14"/>
  <c r="G96" i="14"/>
  <c r="G177" i="14"/>
  <c r="H173" i="14"/>
  <c r="G86" i="14"/>
  <c r="H192" i="14"/>
  <c r="H152" i="14"/>
  <c r="H94" i="14" s="1"/>
  <c r="H31" i="14"/>
  <c r="H27" i="14"/>
  <c r="H151" i="14"/>
  <c r="H147" i="14"/>
  <c r="H18" i="14"/>
  <c r="H149" i="14"/>
  <c r="H20" i="14"/>
  <c r="H41" i="14"/>
  <c r="G42" i="14"/>
  <c r="G43" i="14"/>
  <c r="G17" i="14" s="1"/>
  <c r="G21" i="14" s="1"/>
  <c r="E30" i="14"/>
  <c r="E32" i="14" s="1"/>
  <c r="E47" i="14"/>
  <c r="G111" i="14"/>
  <c r="G80" i="14"/>
  <c r="G153" i="14"/>
  <c r="G154" i="14" s="1"/>
  <c r="G277" i="14" s="1"/>
  <c r="G115" i="14"/>
  <c r="G82" i="14"/>
  <c r="G121" i="14"/>
  <c r="C332" i="14"/>
  <c r="C261" i="14"/>
  <c r="C105" i="14"/>
  <c r="C117" i="14" s="1"/>
  <c r="C329" i="14"/>
  <c r="F326" i="14"/>
  <c r="F24" i="14"/>
  <c r="D28" i="14"/>
  <c r="H238" i="14"/>
  <c r="H237" i="14"/>
  <c r="I234" i="14" s="1"/>
  <c r="J183" i="14"/>
  <c r="I19" i="14"/>
  <c r="G260" i="14"/>
  <c r="G107" i="14"/>
  <c r="G114" i="14"/>
  <c r="G93" i="14"/>
  <c r="I14" i="14"/>
  <c r="J6" i="14"/>
  <c r="I8" i="14"/>
  <c r="I7" i="14" s="1"/>
  <c r="K228" i="14"/>
  <c r="F164" i="14"/>
  <c r="F122" i="14"/>
  <c r="F124" i="14" s="1"/>
  <c r="F240" i="14"/>
  <c r="H15" i="14"/>
  <c r="H16" i="14" s="1"/>
  <c r="G220" i="14"/>
  <c r="H215" i="14"/>
  <c r="H219" i="14" s="1"/>
  <c r="G97" i="14"/>
  <c r="I12" i="14"/>
  <c r="I11" i="14"/>
  <c r="J10" i="14"/>
  <c r="G113" i="14"/>
  <c r="G92" i="14"/>
  <c r="J186" i="14"/>
  <c r="G189" i="14"/>
  <c r="F87" i="14"/>
  <c r="G112" i="14"/>
  <c r="G81" i="14"/>
  <c r="G89" i="14" l="1"/>
  <c r="H208" i="14"/>
  <c r="H212" i="14" s="1"/>
  <c r="G213" i="14"/>
  <c r="G116" i="14" s="1"/>
  <c r="I15" i="14"/>
  <c r="I148" i="14" s="1"/>
  <c r="H88" i="14"/>
  <c r="I199" i="14"/>
  <c r="I205" i="14" s="1"/>
  <c r="G326" i="14"/>
  <c r="I215" i="14"/>
  <c r="I219" i="14" s="1"/>
  <c r="H97" i="14"/>
  <c r="H220" i="14"/>
  <c r="I192" i="14"/>
  <c r="I147" i="14"/>
  <c r="I152" i="14"/>
  <c r="I94" i="14" s="1"/>
  <c r="I31" i="14"/>
  <c r="I27" i="14"/>
  <c r="I149" i="14"/>
  <c r="I18" i="14"/>
  <c r="I41" i="14"/>
  <c r="I151" i="14"/>
  <c r="I20" i="14"/>
  <c r="I16" i="14"/>
  <c r="D30" i="14"/>
  <c r="D32" i="14" s="1"/>
  <c r="D47" i="14"/>
  <c r="H121" i="14"/>
  <c r="G95" i="14"/>
  <c r="F170" i="14"/>
  <c r="G165" i="14" s="1"/>
  <c r="F167" i="14"/>
  <c r="H260" i="14"/>
  <c r="H107" i="14"/>
  <c r="C142" i="14"/>
  <c r="C128" i="14"/>
  <c r="C130" i="14" s="1"/>
  <c r="C131" i="14" s="1"/>
  <c r="K186" i="14"/>
  <c r="F270" i="14"/>
  <c r="F272" i="14" s="1"/>
  <c r="H115" i="14"/>
  <c r="H82" i="14"/>
  <c r="G193" i="14"/>
  <c r="G194" i="14" s="1"/>
  <c r="C267" i="14"/>
  <c r="C263" i="14"/>
  <c r="G164" i="14"/>
  <c r="G122" i="14"/>
  <c r="G124" i="14" s="1"/>
  <c r="J12" i="14"/>
  <c r="J11" i="14"/>
  <c r="K10" i="14"/>
  <c r="L228" i="14"/>
  <c r="F276" i="14"/>
  <c r="F246" i="14"/>
  <c r="F245" i="14"/>
  <c r="K183" i="14"/>
  <c r="J19" i="14"/>
  <c r="H111" i="14"/>
  <c r="H80" i="14"/>
  <c r="E332" i="14"/>
  <c r="E261" i="14"/>
  <c r="E267" i="14" s="1"/>
  <c r="E329" i="14"/>
  <c r="E105" i="14"/>
  <c r="E117" i="14" s="1"/>
  <c r="H148" i="14"/>
  <c r="H150" i="14"/>
  <c r="H42" i="14"/>
  <c r="H43" i="14" s="1"/>
  <c r="H17" i="14" s="1"/>
  <c r="H21" i="14" s="1"/>
  <c r="J14" i="14"/>
  <c r="J8" i="14"/>
  <c r="J7" i="14" s="1"/>
  <c r="K6" i="14"/>
  <c r="I237" i="14"/>
  <c r="J234" i="14" s="1"/>
  <c r="I238" i="14"/>
  <c r="H114" i="14"/>
  <c r="H93" i="14"/>
  <c r="H184" i="14"/>
  <c r="I150" i="14" l="1"/>
  <c r="I208" i="14"/>
  <c r="I212" i="14" s="1"/>
  <c r="H213" i="14"/>
  <c r="H116" i="14" s="1"/>
  <c r="H89" i="14"/>
  <c r="H153" i="14"/>
  <c r="H154" i="14" s="1"/>
  <c r="H277" i="14" s="1"/>
  <c r="J199" i="14"/>
  <c r="J205" i="14" s="1"/>
  <c r="I88" i="14"/>
  <c r="J15" i="14"/>
  <c r="J16" i="14" s="1"/>
  <c r="H326" i="14"/>
  <c r="I81" i="14"/>
  <c r="I112" i="14"/>
  <c r="G22" i="14"/>
  <c r="G191" i="14"/>
  <c r="G190" i="14" s="1"/>
  <c r="G276" i="14" s="1"/>
  <c r="C264" i="14"/>
  <c r="C141" i="14"/>
  <c r="D129" i="14"/>
  <c r="C78" i="14"/>
  <c r="C83" i="14" s="1"/>
  <c r="C90" i="14" s="1"/>
  <c r="J215" i="14"/>
  <c r="J219" i="14" s="1"/>
  <c r="I97" i="14"/>
  <c r="I220" i="14"/>
  <c r="H271" i="14"/>
  <c r="H174" i="14"/>
  <c r="H176" i="14" s="1"/>
  <c r="H179" i="14"/>
  <c r="H181" i="14" s="1"/>
  <c r="J237" i="14"/>
  <c r="K234" i="14" s="1"/>
  <c r="J238" i="14"/>
  <c r="I114" i="14"/>
  <c r="I93" i="14"/>
  <c r="H113" i="14"/>
  <c r="H92" i="14"/>
  <c r="H95" i="14" s="1"/>
  <c r="L186" i="14"/>
  <c r="I115" i="14"/>
  <c r="I82" i="14"/>
  <c r="H189" i="14"/>
  <c r="G87" i="14"/>
  <c r="K8" i="14"/>
  <c r="K7" i="14" s="1"/>
  <c r="K15" i="14" s="1"/>
  <c r="K14" i="14"/>
  <c r="L6" i="14"/>
  <c r="D332" i="14"/>
  <c r="D261" i="14"/>
  <c r="D267" i="14" s="1"/>
  <c r="D105" i="14"/>
  <c r="D117" i="14" s="1"/>
  <c r="D329" i="14"/>
  <c r="I260" i="14"/>
  <c r="I107" i="14"/>
  <c r="K12" i="14"/>
  <c r="K11" i="14"/>
  <c r="L10" i="14"/>
  <c r="I42" i="14"/>
  <c r="H112" i="14"/>
  <c r="H81" i="14"/>
  <c r="L183" i="14"/>
  <c r="K19" i="14"/>
  <c r="G170" i="14"/>
  <c r="H165" i="14" s="1"/>
  <c r="I113" i="14"/>
  <c r="I92" i="14"/>
  <c r="H122" i="14"/>
  <c r="H124" i="14" s="1"/>
  <c r="H164" i="14"/>
  <c r="F273" i="14"/>
  <c r="F274" i="14" s="1"/>
  <c r="F278" i="14" s="1"/>
  <c r="G240" i="14"/>
  <c r="D258" i="14"/>
  <c r="C100" i="14"/>
  <c r="I153" i="14"/>
  <c r="I111" i="14"/>
  <c r="I80" i="14"/>
  <c r="I121" i="14"/>
  <c r="J192" i="14"/>
  <c r="J147" i="14"/>
  <c r="J152" i="14"/>
  <c r="J94" i="14" s="1"/>
  <c r="J149" i="14"/>
  <c r="J31" i="14"/>
  <c r="J27" i="14"/>
  <c r="J18" i="14"/>
  <c r="J41" i="14"/>
  <c r="J20" i="14"/>
  <c r="J151" i="14"/>
  <c r="M228" i="14"/>
  <c r="G163" i="14"/>
  <c r="G167" i="14" s="1"/>
  <c r="F85" i="14"/>
  <c r="E142" i="14"/>
  <c r="E128" i="14"/>
  <c r="E130" i="14" s="1"/>
  <c r="I154" i="14" l="1"/>
  <c r="I277" i="14" s="1"/>
  <c r="I213" i="14"/>
  <c r="I116" i="14" s="1"/>
  <c r="J208" i="14"/>
  <c r="J212" i="14" s="1"/>
  <c r="I89" i="14"/>
  <c r="J150" i="14"/>
  <c r="J113" i="14" s="1"/>
  <c r="J148" i="14"/>
  <c r="J153" i="14" s="1"/>
  <c r="J154" i="14" s="1"/>
  <c r="J277" i="14" s="1"/>
  <c r="I95" i="14"/>
  <c r="D263" i="14"/>
  <c r="D100" i="14" s="1"/>
  <c r="K199" i="14"/>
  <c r="K205" i="14" s="1"/>
  <c r="J88" i="14"/>
  <c r="I122" i="14"/>
  <c r="I124" i="14" s="1"/>
  <c r="I164" i="14"/>
  <c r="G106" i="14"/>
  <c r="G275" i="14"/>
  <c r="G24" i="14"/>
  <c r="J114" i="14"/>
  <c r="J93" i="14"/>
  <c r="G245" i="14"/>
  <c r="G246" i="14"/>
  <c r="J260" i="14"/>
  <c r="J107" i="14"/>
  <c r="M183" i="14"/>
  <c r="L19" i="14"/>
  <c r="D142" i="14"/>
  <c r="D128" i="14"/>
  <c r="D130" i="14" s="1"/>
  <c r="D131" i="14" s="1"/>
  <c r="M186" i="14"/>
  <c r="K148" i="14"/>
  <c r="K150" i="14"/>
  <c r="J111" i="14"/>
  <c r="J80" i="14"/>
  <c r="H193" i="14"/>
  <c r="H194" i="14" s="1"/>
  <c r="N228" i="14"/>
  <c r="K215" i="14"/>
  <c r="K219" i="14" s="1"/>
  <c r="J97" i="14"/>
  <c r="J220" i="14"/>
  <c r="M10" i="14"/>
  <c r="L12" i="14"/>
  <c r="L11" i="14" s="1"/>
  <c r="J115" i="14"/>
  <c r="J82" i="14"/>
  <c r="K237" i="14"/>
  <c r="L234" i="14" s="1"/>
  <c r="K238" i="14"/>
  <c r="H163" i="14"/>
  <c r="H167" i="14" s="1"/>
  <c r="G85" i="14"/>
  <c r="I178" i="14"/>
  <c r="H96" i="14"/>
  <c r="J42" i="14"/>
  <c r="H170" i="14"/>
  <c r="I165" i="14" s="1"/>
  <c r="C331" i="14"/>
  <c r="C330" i="14"/>
  <c r="K192" i="14"/>
  <c r="K147" i="14"/>
  <c r="K152" i="14"/>
  <c r="K94" i="14" s="1"/>
  <c r="K149" i="14"/>
  <c r="K151" i="14"/>
  <c r="K31" i="14"/>
  <c r="K27" i="14"/>
  <c r="K18" i="14"/>
  <c r="K41" i="14"/>
  <c r="K16" i="14"/>
  <c r="K20" i="14"/>
  <c r="C101" i="14"/>
  <c r="C102" i="14" s="1"/>
  <c r="C327" i="14"/>
  <c r="C328" i="14"/>
  <c r="I173" i="14"/>
  <c r="H177" i="14"/>
  <c r="H86" i="14"/>
  <c r="J121" i="14"/>
  <c r="J81" i="14"/>
  <c r="J112" i="14"/>
  <c r="I43" i="14"/>
  <c r="I17" i="14" s="1"/>
  <c r="I21" i="14" s="1"/>
  <c r="M6" i="14"/>
  <c r="L8" i="14"/>
  <c r="L7" i="14" s="1"/>
  <c r="L14" i="14"/>
  <c r="D140" i="14"/>
  <c r="D224" i="14"/>
  <c r="D225" i="14" s="1"/>
  <c r="E223" i="14" s="1"/>
  <c r="E258" i="14" l="1"/>
  <c r="E263" i="14" s="1"/>
  <c r="J92" i="14"/>
  <c r="J95" i="14" s="1"/>
  <c r="K208" i="14"/>
  <c r="K212" i="14" s="1"/>
  <c r="J213" i="14"/>
  <c r="J116" i="14" s="1"/>
  <c r="J89" i="14"/>
  <c r="L199" i="14"/>
  <c r="L205" i="14" s="1"/>
  <c r="K88" i="14"/>
  <c r="D264" i="14"/>
  <c r="D141" i="14"/>
  <c r="E129" i="14"/>
  <c r="D78" i="14"/>
  <c r="D83" i="14" s="1"/>
  <c r="D90" i="14" s="1"/>
  <c r="L15" i="14"/>
  <c r="L16" i="14" s="1"/>
  <c r="K97" i="14"/>
  <c r="L215" i="14"/>
  <c r="L219" i="14" s="1"/>
  <c r="K220" i="14"/>
  <c r="D230" i="14"/>
  <c r="D231" i="14" s="1"/>
  <c r="G270" i="14"/>
  <c r="G272" i="14" s="1"/>
  <c r="N183" i="14"/>
  <c r="M19" i="14"/>
  <c r="N186" i="14"/>
  <c r="K42" i="14"/>
  <c r="K43" i="14" s="1"/>
  <c r="K17" i="14" s="1"/>
  <c r="K21" i="14" s="1"/>
  <c r="L147" i="14"/>
  <c r="L152" i="14"/>
  <c r="L94" i="14" s="1"/>
  <c r="L149" i="14"/>
  <c r="L151" i="14"/>
  <c r="L27" i="14"/>
  <c r="L20" i="14"/>
  <c r="L192" i="14"/>
  <c r="L18" i="14"/>
  <c r="L31" i="14"/>
  <c r="L41" i="14"/>
  <c r="H22" i="14"/>
  <c r="H191" i="14"/>
  <c r="H190" i="14" s="1"/>
  <c r="H276" i="14" s="1"/>
  <c r="M8" i="14"/>
  <c r="M7" i="14" s="1"/>
  <c r="N6" i="14"/>
  <c r="M14" i="14"/>
  <c r="K114" i="14"/>
  <c r="K93" i="14"/>
  <c r="J122" i="14"/>
  <c r="J124" i="14" s="1"/>
  <c r="J164" i="14"/>
  <c r="M12" i="14"/>
  <c r="M11" i="14" s="1"/>
  <c r="N10" i="14"/>
  <c r="I170" i="14"/>
  <c r="J165" i="14" s="1"/>
  <c r="I184" i="14"/>
  <c r="I163" i="14"/>
  <c r="I167" i="14" s="1"/>
  <c r="H85" i="14"/>
  <c r="I189" i="14"/>
  <c r="H87" i="14"/>
  <c r="K115" i="14"/>
  <c r="K82" i="14"/>
  <c r="J43" i="14"/>
  <c r="J17" i="14" s="1"/>
  <c r="J21" i="14" s="1"/>
  <c r="K121" i="14"/>
  <c r="K107" i="14"/>
  <c r="K260" i="14"/>
  <c r="H240" i="14"/>
  <c r="L237" i="14"/>
  <c r="M234" i="14" s="1"/>
  <c r="L238" i="14"/>
  <c r="K113" i="14"/>
  <c r="K92" i="14"/>
  <c r="F258" i="14"/>
  <c r="E100" i="14"/>
  <c r="E328" i="14" s="1"/>
  <c r="E227" i="14"/>
  <c r="O228" i="14"/>
  <c r="I326" i="14"/>
  <c r="K153" i="14"/>
  <c r="K154" i="14" s="1"/>
  <c r="K277" i="14" s="1"/>
  <c r="K111" i="14"/>
  <c r="K80" i="14"/>
  <c r="K112" i="14"/>
  <c r="K81" i="14"/>
  <c r="D328" i="14"/>
  <c r="L208" i="14" l="1"/>
  <c r="L212" i="14" s="1"/>
  <c r="K213" i="14"/>
  <c r="K116" i="14" s="1"/>
  <c r="K89" i="14"/>
  <c r="K95" i="14"/>
  <c r="J170" i="14"/>
  <c r="K165" i="14" s="1"/>
  <c r="L88" i="14"/>
  <c r="M199" i="14"/>
  <c r="M205" i="14" s="1"/>
  <c r="K326" i="14"/>
  <c r="E229" i="14"/>
  <c r="D249" i="14"/>
  <c r="M237" i="14"/>
  <c r="N234" i="14" s="1"/>
  <c r="M238" i="14"/>
  <c r="L220" i="14"/>
  <c r="M215" i="14"/>
  <c r="M219" i="14" s="1"/>
  <c r="L97" i="14"/>
  <c r="M15" i="14"/>
  <c r="L148" i="14"/>
  <c r="L150" i="14"/>
  <c r="G273" i="14"/>
  <c r="G274" i="14" s="1"/>
  <c r="G278" i="14" s="1"/>
  <c r="L121" i="14"/>
  <c r="J163" i="14"/>
  <c r="J167" i="14" s="1"/>
  <c r="I85" i="14"/>
  <c r="M147" i="14"/>
  <c r="M152" i="14"/>
  <c r="M94" i="14" s="1"/>
  <c r="M149" i="14"/>
  <c r="M151" i="14"/>
  <c r="M20" i="14"/>
  <c r="M27" i="14"/>
  <c r="M18" i="14"/>
  <c r="M41" i="14"/>
  <c r="M16" i="14"/>
  <c r="M31" i="14"/>
  <c r="M192" i="14"/>
  <c r="L93" i="14"/>
  <c r="L114" i="14"/>
  <c r="D331" i="14"/>
  <c r="D330" i="14"/>
  <c r="I193" i="14"/>
  <c r="I194" i="14" s="1"/>
  <c r="L107" i="14"/>
  <c r="L260" i="14"/>
  <c r="I271" i="14"/>
  <c r="I174" i="14"/>
  <c r="I176" i="14" s="1"/>
  <c r="I179" i="14"/>
  <c r="I181" i="14" s="1"/>
  <c r="N8" i="14"/>
  <c r="O6" i="14"/>
  <c r="N14" i="14"/>
  <c r="N7" i="14"/>
  <c r="L82" i="14"/>
  <c r="L115" i="14"/>
  <c r="O183" i="14"/>
  <c r="N19" i="14"/>
  <c r="E140" i="14"/>
  <c r="E131" i="14"/>
  <c r="E224" i="14"/>
  <c r="E225" i="14" s="1"/>
  <c r="F223" i="14" s="1"/>
  <c r="H275" i="14"/>
  <c r="H106" i="14"/>
  <c r="H24" i="14"/>
  <c r="L42" i="14"/>
  <c r="L43" i="14"/>
  <c r="L17" i="14" s="1"/>
  <c r="L21" i="14" s="1"/>
  <c r="H245" i="14"/>
  <c r="H246" i="14"/>
  <c r="J326" i="14"/>
  <c r="N12" i="14"/>
  <c r="N11" i="14" s="1"/>
  <c r="O10" i="14"/>
  <c r="K122" i="14"/>
  <c r="K124" i="14" s="1"/>
  <c r="K164" i="14"/>
  <c r="K170" i="14" s="1"/>
  <c r="L165" i="14" s="1"/>
  <c r="O186" i="14"/>
  <c r="L111" i="14"/>
  <c r="L80" i="14"/>
  <c r="L153" i="14" l="1"/>
  <c r="L154" i="14" s="1"/>
  <c r="L277" i="14" s="1"/>
  <c r="L89" i="14"/>
  <c r="M208" i="14"/>
  <c r="M212" i="14" s="1"/>
  <c r="L213" i="14"/>
  <c r="L116" i="14" s="1"/>
  <c r="M88" i="14"/>
  <c r="N199" i="14"/>
  <c r="N205" i="14" s="1"/>
  <c r="L326" i="14"/>
  <c r="J85" i="14"/>
  <c r="K163" i="14"/>
  <c r="K167" i="14" s="1"/>
  <c r="O12" i="14"/>
  <c r="O11" i="14"/>
  <c r="L124" i="14"/>
  <c r="J189" i="14"/>
  <c r="I87" i="14"/>
  <c r="M220" i="14"/>
  <c r="N215" i="14"/>
  <c r="N219" i="14" s="1"/>
  <c r="M97" i="14"/>
  <c r="M42" i="14"/>
  <c r="M43" i="14"/>
  <c r="M17" i="14" s="1"/>
  <c r="M21" i="14" s="1"/>
  <c r="I22" i="14"/>
  <c r="I191" i="14"/>
  <c r="I190" i="14" s="1"/>
  <c r="I276" i="14" s="1"/>
  <c r="J173" i="14"/>
  <c r="I177" i="14"/>
  <c r="I86" i="14"/>
  <c r="M115" i="14"/>
  <c r="M82" i="14"/>
  <c r="L92" i="14"/>
  <c r="L95" i="14" s="1"/>
  <c r="L113" i="14"/>
  <c r="M121" i="14"/>
  <c r="H270" i="14"/>
  <c r="H272" i="14" s="1"/>
  <c r="N15" i="14"/>
  <c r="N152" i="14"/>
  <c r="N94" i="14" s="1"/>
  <c r="N149" i="14"/>
  <c r="N151" i="14"/>
  <c r="N20" i="14"/>
  <c r="N18" i="14"/>
  <c r="N147" i="14"/>
  <c r="N27" i="14"/>
  <c r="N41" i="14"/>
  <c r="N192" i="14"/>
  <c r="N31" i="14"/>
  <c r="D255" i="14"/>
  <c r="D98" i="14"/>
  <c r="D254" i="14"/>
  <c r="D335" i="14" s="1"/>
  <c r="E264" i="14"/>
  <c r="E141" i="14"/>
  <c r="F129" i="14"/>
  <c r="E78" i="14"/>
  <c r="E83" i="14" s="1"/>
  <c r="E90" i="14" s="1"/>
  <c r="M107" i="14"/>
  <c r="M260" i="14"/>
  <c r="M93" i="14"/>
  <c r="M114" i="14"/>
  <c r="L112" i="14"/>
  <c r="L81" i="14"/>
  <c r="N237" i="14"/>
  <c r="O234" i="14" s="1"/>
  <c r="N238" i="14"/>
  <c r="O8" i="14"/>
  <c r="O7" i="14" s="1"/>
  <c r="O14" i="14"/>
  <c r="O19" i="14"/>
  <c r="M111" i="14"/>
  <c r="M80" i="14"/>
  <c r="M150" i="14"/>
  <c r="M148" i="14"/>
  <c r="L164" i="14"/>
  <c r="L170" i="14" s="1"/>
  <c r="M165" i="14" s="1"/>
  <c r="L122" i="14"/>
  <c r="F227" i="14"/>
  <c r="F248" i="14" s="1"/>
  <c r="J178" i="14"/>
  <c r="I96" i="14"/>
  <c r="E230" i="14"/>
  <c r="E231" i="14" s="1"/>
  <c r="I240" i="14"/>
  <c r="N208" i="14" l="1"/>
  <c r="N212" i="14" s="1"/>
  <c r="M89" i="14"/>
  <c r="M213" i="14"/>
  <c r="M116" i="14" s="1"/>
  <c r="O199" i="14"/>
  <c r="O205" i="14" s="1"/>
  <c r="O88" i="14" s="1"/>
  <c r="N88" i="14"/>
  <c r="M326" i="14"/>
  <c r="J184" i="14"/>
  <c r="N150" i="14"/>
  <c r="N148" i="14"/>
  <c r="O15" i="14"/>
  <c r="O237" i="14"/>
  <c r="O238" i="14"/>
  <c r="O151" i="14"/>
  <c r="O152" i="14"/>
  <c r="O94" i="14" s="1"/>
  <c r="O20" i="14"/>
  <c r="O18" i="14"/>
  <c r="O41" i="14"/>
  <c r="O192" i="14"/>
  <c r="O147" i="14"/>
  <c r="O31" i="14"/>
  <c r="O149" i="14"/>
  <c r="O27" i="14"/>
  <c r="H273" i="14"/>
  <c r="H274" i="14" s="1"/>
  <c r="H278" i="14" s="1"/>
  <c r="M112" i="14"/>
  <c r="M81" i="14"/>
  <c r="I246" i="14"/>
  <c r="I245" i="14"/>
  <c r="N115" i="14"/>
  <c r="N82" i="14"/>
  <c r="I275" i="14"/>
  <c r="I106" i="14"/>
  <c r="I24" i="14"/>
  <c r="N111" i="14"/>
  <c r="N80" i="14"/>
  <c r="M153" i="14"/>
  <c r="M154" i="14" s="1"/>
  <c r="M277" i="14" s="1"/>
  <c r="N107" i="14"/>
  <c r="N260" i="14"/>
  <c r="N220" i="14"/>
  <c r="O215" i="14"/>
  <c r="O219" i="14" s="1"/>
  <c r="N97" i="14"/>
  <c r="D99" i="14"/>
  <c r="D101" i="14" s="1"/>
  <c r="D102" i="14" s="1"/>
  <c r="D327" i="14"/>
  <c r="F229" i="14"/>
  <c r="E249" i="14"/>
  <c r="N121" i="14"/>
  <c r="L163" i="14"/>
  <c r="L167" i="14" s="1"/>
  <c r="K85" i="14"/>
  <c r="N16" i="14"/>
  <c r="M113" i="14"/>
  <c r="M92" i="14"/>
  <c r="M95" i="14" s="1"/>
  <c r="J193" i="14"/>
  <c r="J194" i="14" s="1"/>
  <c r="F25" i="14"/>
  <c r="F28" i="14" s="1"/>
  <c r="F253" i="14"/>
  <c r="F251" i="14"/>
  <c r="F334" i="14" s="1"/>
  <c r="F252" i="14"/>
  <c r="N42" i="14"/>
  <c r="N43" i="14" s="1"/>
  <c r="N17" i="14" s="1"/>
  <c r="E331" i="14"/>
  <c r="E330" i="14"/>
  <c r="M164" i="14"/>
  <c r="M170" i="14" s="1"/>
  <c r="N165" i="14" s="1"/>
  <c r="M122" i="14"/>
  <c r="M124" i="14" s="1"/>
  <c r="F140" i="14"/>
  <c r="F224" i="14"/>
  <c r="N93" i="14"/>
  <c r="N114" i="14"/>
  <c r="N213" i="14" l="1"/>
  <c r="N116" i="14" s="1"/>
  <c r="O208" i="14"/>
  <c r="O212" i="14" s="1"/>
  <c r="N89" i="14"/>
  <c r="F230" i="14"/>
  <c r="N112" i="14"/>
  <c r="N81" i="14"/>
  <c r="O220" i="14"/>
  <c r="O97" i="14"/>
  <c r="O80" i="14"/>
  <c r="O111" i="14"/>
  <c r="O42" i="14"/>
  <c r="O150" i="14"/>
  <c r="O148" i="14"/>
  <c r="N21" i="14"/>
  <c r="J271" i="14"/>
  <c r="J174" i="14"/>
  <c r="J176" i="14" s="1"/>
  <c r="J179" i="14"/>
  <c r="J181" i="14" s="1"/>
  <c r="E255" i="14"/>
  <c r="E292" i="14"/>
  <c r="E98" i="14"/>
  <c r="E254" i="14"/>
  <c r="E335" i="14" s="1"/>
  <c r="O114" i="14"/>
  <c r="O93" i="14"/>
  <c r="O16" i="14"/>
  <c r="N164" i="14"/>
  <c r="N170" i="14" s="1"/>
  <c r="O165" i="14" s="1"/>
  <c r="N122" i="14"/>
  <c r="N124" i="14" s="1"/>
  <c r="O121" i="14"/>
  <c r="J240" i="14"/>
  <c r="M163" i="14"/>
  <c r="M167" i="14" s="1"/>
  <c r="L85" i="14"/>
  <c r="F225" i="14"/>
  <c r="G223" i="14" s="1"/>
  <c r="J22" i="14"/>
  <c r="J191" i="14"/>
  <c r="J190" i="14" s="1"/>
  <c r="J276" i="14" s="1"/>
  <c r="F231" i="14"/>
  <c r="N153" i="14"/>
  <c r="N154" i="14" s="1"/>
  <c r="N277" i="14" s="1"/>
  <c r="N113" i="14"/>
  <c r="N92" i="14"/>
  <c r="N95" i="14" s="1"/>
  <c r="O107" i="14"/>
  <c r="O260" i="14"/>
  <c r="F29" i="14"/>
  <c r="F30" i="14"/>
  <c r="F32" i="14" s="1"/>
  <c r="K189" i="14"/>
  <c r="J87" i="14"/>
  <c r="I270" i="14"/>
  <c r="I272" i="14" s="1"/>
  <c r="O82" i="14"/>
  <c r="O115" i="14"/>
  <c r="O213" i="14" l="1"/>
  <c r="O116" i="14" s="1"/>
  <c r="O89" i="14"/>
  <c r="E298" i="14"/>
  <c r="E294" i="14"/>
  <c r="E299" i="14" s="1"/>
  <c r="E287" i="14" s="1"/>
  <c r="O302" i="14"/>
  <c r="O113" i="14"/>
  <c r="O92" i="14"/>
  <c r="O95" i="14" s="1"/>
  <c r="N163" i="14"/>
  <c r="N167" i="14" s="1"/>
  <c r="M85" i="14"/>
  <c r="J246" i="14"/>
  <c r="J245" i="14"/>
  <c r="G229" i="14"/>
  <c r="F249" i="14"/>
  <c r="E99" i="14"/>
  <c r="E101" i="14" s="1"/>
  <c r="E102" i="14" s="1"/>
  <c r="E327" i="14"/>
  <c r="O153" i="14"/>
  <c r="O154" i="14" s="1"/>
  <c r="O277" i="14" s="1"/>
  <c r="F332" i="14"/>
  <c r="F261" i="14"/>
  <c r="F329" i="14"/>
  <c r="F105" i="14"/>
  <c r="F117" i="14" s="1"/>
  <c r="O164" i="14"/>
  <c r="O170" i="14" s="1"/>
  <c r="O122" i="14"/>
  <c r="O124" i="14" s="1"/>
  <c r="K178" i="14"/>
  <c r="J96" i="14"/>
  <c r="K173" i="14"/>
  <c r="J177" i="14"/>
  <c r="J86" i="14"/>
  <c r="K193" i="14"/>
  <c r="K194" i="14" s="1"/>
  <c r="N326" i="14"/>
  <c r="O43" i="14"/>
  <c r="O17" i="14" s="1"/>
  <c r="O21" i="14" s="1"/>
  <c r="I273" i="14"/>
  <c r="I274" i="14" s="1"/>
  <c r="I278" i="14" s="1"/>
  <c r="J275" i="14"/>
  <c r="J106" i="14"/>
  <c r="J24" i="14"/>
  <c r="G227" i="14"/>
  <c r="G248" i="14" s="1"/>
  <c r="O112" i="14"/>
  <c r="O81" i="14"/>
  <c r="O290" i="14" l="1"/>
  <c r="O326" i="14"/>
  <c r="K240" i="14"/>
  <c r="K184" i="14"/>
  <c r="G25" i="14"/>
  <c r="G253" i="14"/>
  <c r="G251" i="14"/>
  <c r="G334" i="14" s="1"/>
  <c r="G252" i="14"/>
  <c r="O163" i="14"/>
  <c r="O167" i="14" s="1"/>
  <c r="O85" i="14" s="1"/>
  <c r="N85" i="14"/>
  <c r="O319" i="14"/>
  <c r="N319" i="14"/>
  <c r="F262" i="14"/>
  <c r="F127" i="14" s="1"/>
  <c r="F142" i="14" s="1"/>
  <c r="F136" i="14" s="1"/>
  <c r="F98" i="14"/>
  <c r="F255" i="14"/>
  <c r="F254" i="14"/>
  <c r="F335" i="14" s="1"/>
  <c r="J270" i="14"/>
  <c r="J272" i="14" s="1"/>
  <c r="K87" i="14"/>
  <c r="L189" i="14"/>
  <c r="K22" i="14"/>
  <c r="K191" i="14"/>
  <c r="K190" i="14" s="1"/>
  <c r="K276" i="14" s="1"/>
  <c r="C287" i="14"/>
  <c r="E315" i="14"/>
  <c r="D315" i="14"/>
  <c r="F263" i="14" l="1"/>
  <c r="L193" i="14"/>
  <c r="L194" i="14" s="1"/>
  <c r="F99" i="14"/>
  <c r="K271" i="14"/>
  <c r="K179" i="14"/>
  <c r="K181" i="14" s="1"/>
  <c r="K174" i="14"/>
  <c r="K176" i="14" s="1"/>
  <c r="K246" i="14"/>
  <c r="K245" i="14"/>
  <c r="G258" i="14"/>
  <c r="F100" i="14"/>
  <c r="F328" i="14" s="1"/>
  <c r="F137" i="14"/>
  <c r="F125" i="14"/>
  <c r="F128" i="14" s="1"/>
  <c r="F130" i="14" s="1"/>
  <c r="F131" i="14" s="1"/>
  <c r="J273" i="14"/>
  <c r="J274" i="14" s="1"/>
  <c r="J278" i="14" s="1"/>
  <c r="K275" i="14"/>
  <c r="K106" i="14"/>
  <c r="K24" i="14"/>
  <c r="F327" i="14" l="1"/>
  <c r="F101" i="14"/>
  <c r="L240" i="14"/>
  <c r="K270" i="14"/>
  <c r="K272" i="14" s="1"/>
  <c r="L173" i="14"/>
  <c r="K177" i="14"/>
  <c r="K86" i="14"/>
  <c r="L178" i="14"/>
  <c r="K96" i="14"/>
  <c r="F264" i="14"/>
  <c r="G129" i="14"/>
  <c r="F141" i="14"/>
  <c r="F78" i="14"/>
  <c r="G135" i="14"/>
  <c r="F79" i="14"/>
  <c r="L87" i="14"/>
  <c r="M189" i="14"/>
  <c r="L22" i="14"/>
  <c r="L191" i="14"/>
  <c r="L190" i="14" s="1"/>
  <c r="L276" i="14" s="1"/>
  <c r="L106" i="14" l="1"/>
  <c r="L275" i="14"/>
  <c r="L24" i="14"/>
  <c r="M193" i="14"/>
  <c r="M194" i="14" s="1"/>
  <c r="K273" i="14"/>
  <c r="K274" i="14" s="1"/>
  <c r="K278" i="14" s="1"/>
  <c r="L184" i="14"/>
  <c r="G265" i="14"/>
  <c r="G143" i="14"/>
  <c r="G26" i="14" s="1"/>
  <c r="G28" i="14" s="1"/>
  <c r="F83" i="14"/>
  <c r="F90" i="14" s="1"/>
  <c r="G224" i="14"/>
  <c r="G140" i="14"/>
  <c r="L246" i="14"/>
  <c r="L245" i="14"/>
  <c r="M240" i="14" l="1"/>
  <c r="F331" i="14"/>
  <c r="F102" i="14"/>
  <c r="F330" i="14"/>
  <c r="G225" i="14"/>
  <c r="H223" i="14" s="1"/>
  <c r="G230" i="14"/>
  <c r="G231" i="14" s="1"/>
  <c r="M87" i="14"/>
  <c r="N189" i="14"/>
  <c r="M22" i="14"/>
  <c r="M191" i="14"/>
  <c r="M190" i="14" s="1"/>
  <c r="M276" i="14" s="1"/>
  <c r="G29" i="14"/>
  <c r="G30" i="14" s="1"/>
  <c r="G32" i="14" s="1"/>
  <c r="L270" i="14"/>
  <c r="L271" i="14"/>
  <c r="L174" i="14"/>
  <c r="L176" i="14" s="1"/>
  <c r="L179" i="14"/>
  <c r="L181" i="14" s="1"/>
  <c r="H227" i="14" l="1"/>
  <c r="H248" i="14" s="1"/>
  <c r="L272" i="14"/>
  <c r="G261" i="14"/>
  <c r="G329" i="14"/>
  <c r="G332" i="14"/>
  <c r="G105" i="14"/>
  <c r="G117" i="14" s="1"/>
  <c r="M173" i="14"/>
  <c r="L177" i="14"/>
  <c r="L86" i="14"/>
  <c r="M275" i="14"/>
  <c r="M106" i="14"/>
  <c r="M24" i="14"/>
  <c r="N193" i="14"/>
  <c r="M245" i="14"/>
  <c r="M246" i="14"/>
  <c r="M178" i="14"/>
  <c r="L96" i="14"/>
  <c r="H229" i="14"/>
  <c r="G249" i="14"/>
  <c r="G255" i="14" l="1"/>
  <c r="G98" i="14"/>
  <c r="G254" i="14"/>
  <c r="G335" i="14" s="1"/>
  <c r="N240" i="14"/>
  <c r="N22" i="14"/>
  <c r="N191" i="14"/>
  <c r="N190" i="14" s="1"/>
  <c r="N276" i="14" s="1"/>
  <c r="H25" i="14"/>
  <c r="H251" i="14"/>
  <c r="H334" i="14" s="1"/>
  <c r="H252" i="14"/>
  <c r="H253" i="14"/>
  <c r="M270" i="14"/>
  <c r="M184" i="14"/>
  <c r="G262" i="14"/>
  <c r="G127" i="14" s="1"/>
  <c r="L273" i="14"/>
  <c r="L274" i="14" s="1"/>
  <c r="L278" i="14" s="1"/>
  <c r="N194" i="14"/>
  <c r="N275" i="14" l="1"/>
  <c r="N106" i="14"/>
  <c r="N24" i="14"/>
  <c r="O189" i="14"/>
  <c r="N87" i="14"/>
  <c r="G142" i="14"/>
  <c r="G136" i="14" s="1"/>
  <c r="M271" i="14"/>
  <c r="M272" i="14" s="1"/>
  <c r="M174" i="14"/>
  <c r="M176" i="14" s="1"/>
  <c r="M179" i="14"/>
  <c r="M181" i="14" s="1"/>
  <c r="N246" i="14"/>
  <c r="N245" i="14"/>
  <c r="G99" i="14"/>
  <c r="G263" i="14"/>
  <c r="M273" i="14" l="1"/>
  <c r="M274" i="14" s="1"/>
  <c r="M278" i="14" s="1"/>
  <c r="M177" i="14"/>
  <c r="N173" i="14"/>
  <c r="M86" i="14"/>
  <c r="G137" i="14"/>
  <c r="G125" i="14"/>
  <c r="G128" i="14" s="1"/>
  <c r="G130" i="14" s="1"/>
  <c r="G131" i="14" s="1"/>
  <c r="N270" i="14"/>
  <c r="N178" i="14"/>
  <c r="M96" i="14"/>
  <c r="O193" i="14"/>
  <c r="H258" i="14"/>
  <c r="G100" i="14"/>
  <c r="G101" i="14" s="1"/>
  <c r="O240" i="14"/>
  <c r="O246" i="14" l="1"/>
  <c r="O245" i="14"/>
  <c r="N184" i="14"/>
  <c r="G264" i="14"/>
  <c r="H129" i="14"/>
  <c r="G141" i="14"/>
  <c r="G78" i="14"/>
  <c r="G79" i="14"/>
  <c r="H135" i="14"/>
  <c r="G328" i="14"/>
  <c r="G327" i="14"/>
  <c r="O22" i="14"/>
  <c r="O191" i="14"/>
  <c r="O190" i="14" s="1"/>
  <c r="O276" i="14" s="1"/>
  <c r="O194" i="14"/>
  <c r="O87" i="14" s="1"/>
  <c r="H224" i="14" l="1"/>
  <c r="H140" i="14"/>
  <c r="N271" i="14"/>
  <c r="N272" i="14" s="1"/>
  <c r="N179" i="14"/>
  <c r="N181" i="14" s="1"/>
  <c r="N174" i="14"/>
  <c r="N176" i="14" s="1"/>
  <c r="G83" i="14"/>
  <c r="G90" i="14" s="1"/>
  <c r="O275" i="14"/>
  <c r="O106" i="14"/>
  <c r="O24" i="14"/>
  <c r="H265" i="14"/>
  <c r="H143" i="14"/>
  <c r="H26" i="14" s="1"/>
  <c r="H28" i="14" s="1"/>
  <c r="G331" i="14" l="1"/>
  <c r="G102" i="14"/>
  <c r="G330" i="14"/>
  <c r="O178" i="14"/>
  <c r="N96" i="14"/>
  <c r="H29" i="14"/>
  <c r="H30" i="14" s="1"/>
  <c r="H32" i="14" s="1"/>
  <c r="O270" i="14"/>
  <c r="N177" i="14"/>
  <c r="O173" i="14"/>
  <c r="N86" i="14"/>
  <c r="N273" i="14"/>
  <c r="N274" i="14" s="1"/>
  <c r="N278" i="14" s="1"/>
  <c r="H225" i="14"/>
  <c r="I223" i="14" s="1"/>
  <c r="H230" i="14"/>
  <c r="H231" i="14" s="1"/>
  <c r="H329" i="14" l="1"/>
  <c r="H332" i="14"/>
  <c r="H261" i="14"/>
  <c r="H105" i="14"/>
  <c r="H117" i="14" s="1"/>
  <c r="I229" i="14"/>
  <c r="H249" i="14"/>
  <c r="I227" i="14"/>
  <c r="I248" i="14" s="1"/>
  <c r="O184" i="14"/>
  <c r="I25" i="14" l="1"/>
  <c r="I252" i="14"/>
  <c r="I253" i="14"/>
  <c r="I251" i="14"/>
  <c r="I334" i="14" s="1"/>
  <c r="H255" i="14"/>
  <c r="H254" i="14"/>
  <c r="H335" i="14" s="1"/>
  <c r="H98" i="14"/>
  <c r="H262" i="14"/>
  <c r="H127" i="14" s="1"/>
  <c r="O271" i="14"/>
  <c r="O272" i="14" s="1"/>
  <c r="O179" i="14"/>
  <c r="O181" i="14" s="1"/>
  <c r="O96" i="14" s="1"/>
  <c r="O174" i="14"/>
  <c r="O176" i="14" s="1"/>
  <c r="H263" i="14" l="1"/>
  <c r="H100" i="14" s="1"/>
  <c r="H142" i="14"/>
  <c r="H136" i="14" s="1"/>
  <c r="H99" i="14"/>
  <c r="O177" i="14"/>
  <c r="O86" i="14"/>
  <c r="O273" i="14"/>
  <c r="O274" i="14" s="1"/>
  <c r="O278" i="14" s="1"/>
  <c r="H328" i="14" l="1"/>
  <c r="H327" i="14"/>
  <c r="I258" i="14"/>
  <c r="H101" i="14"/>
  <c r="O294" i="14"/>
  <c r="H137" i="14"/>
  <c r="H125" i="14"/>
  <c r="H128" i="14" s="1"/>
  <c r="H130" i="14" s="1"/>
  <c r="H131" i="14" s="1"/>
  <c r="H264" i="14" l="1"/>
  <c r="I129" i="14"/>
  <c r="H141" i="14"/>
  <c r="H78" i="14"/>
  <c r="H79" i="14"/>
  <c r="I135" i="14"/>
  <c r="I265" i="14" l="1"/>
  <c r="I143" i="14"/>
  <c r="I26" i="14" s="1"/>
  <c r="I28" i="14" s="1"/>
  <c r="H83" i="14"/>
  <c r="H90" i="14" s="1"/>
  <c r="I224" i="14"/>
  <c r="I140" i="14"/>
  <c r="I225" i="14" l="1"/>
  <c r="J223" i="14" s="1"/>
  <c r="I230" i="14"/>
  <c r="I231" i="14" s="1"/>
  <c r="H331" i="14"/>
  <c r="H102" i="14"/>
  <c r="H330" i="14"/>
  <c r="I29" i="14"/>
  <c r="I30" i="14" s="1"/>
  <c r="I32" i="14" s="1"/>
  <c r="I329" i="14" l="1"/>
  <c r="I332" i="14"/>
  <c r="I261" i="14"/>
  <c r="I105" i="14"/>
  <c r="I117" i="14" s="1"/>
  <c r="J229" i="14"/>
  <c r="I249" i="14"/>
  <c r="J227" i="14"/>
  <c r="J248" i="14" s="1"/>
  <c r="J25" i="14" l="1"/>
  <c r="J252" i="14"/>
  <c r="J253" i="14"/>
  <c r="J251" i="14"/>
  <c r="J334" i="14" s="1"/>
  <c r="I255" i="14"/>
  <c r="I254" i="14"/>
  <c r="I335" i="14" s="1"/>
  <c r="I98" i="14"/>
  <c r="I262" i="14"/>
  <c r="I127" i="14" s="1"/>
  <c r="I263" i="14" l="1"/>
  <c r="J258" i="14"/>
  <c r="I100" i="14"/>
  <c r="I328" i="14" s="1"/>
  <c r="I142" i="14"/>
  <c r="I136" i="14" s="1"/>
  <c r="I99" i="14"/>
  <c r="I101" i="14" s="1"/>
  <c r="I327" i="14"/>
  <c r="I125" i="14" l="1"/>
  <c r="I128" i="14" s="1"/>
  <c r="I130" i="14" s="1"/>
  <c r="I131" i="14" s="1"/>
  <c r="I137" i="14"/>
  <c r="J135" i="14" l="1"/>
  <c r="I79" i="14"/>
  <c r="J129" i="14"/>
  <c r="I264" i="14"/>
  <c r="I141" i="14"/>
  <c r="I78" i="14"/>
  <c r="I83" i="14" s="1"/>
  <c r="I90" i="14" s="1"/>
  <c r="I331" i="14" l="1"/>
  <c r="I102" i="14"/>
  <c r="I330" i="14"/>
  <c r="J224" i="14"/>
  <c r="J140" i="14"/>
  <c r="J265" i="14"/>
  <c r="J143" i="14"/>
  <c r="J26" i="14" s="1"/>
  <c r="J28" i="14" s="1"/>
  <c r="J174" i="1"/>
  <c r="J29" i="14" l="1"/>
  <c r="J30" i="14" s="1"/>
  <c r="J32" i="14" s="1"/>
  <c r="J225" i="14"/>
  <c r="K223" i="14" s="1"/>
  <c r="J230" i="14"/>
  <c r="J231" i="14" s="1"/>
  <c r="AB13" i="6"/>
  <c r="F119" i="1"/>
  <c r="G119" i="1"/>
  <c r="H119" i="1"/>
  <c r="J119" i="1"/>
  <c r="K119" i="1"/>
  <c r="L119" i="1"/>
  <c r="M119" i="1"/>
  <c r="N119" i="1"/>
  <c r="O119" i="1"/>
  <c r="I119" i="1"/>
  <c r="J118" i="1"/>
  <c r="K118" i="1"/>
  <c r="L118" i="1"/>
  <c r="M118" i="1"/>
  <c r="N118" i="1"/>
  <c r="O118" i="1"/>
  <c r="F118" i="1"/>
  <c r="G118" i="1"/>
  <c r="H118" i="1"/>
  <c r="I118" i="1"/>
  <c r="D22" i="1"/>
  <c r="D107" i="1" s="1"/>
  <c r="E22" i="1"/>
  <c r="E107" i="1" s="1"/>
  <c r="F22" i="1"/>
  <c r="F107" i="1" s="1"/>
  <c r="G22" i="1"/>
  <c r="G107" i="1" s="1"/>
  <c r="H22" i="1"/>
  <c r="H107" i="1" s="1"/>
  <c r="I22" i="1"/>
  <c r="I107" i="1" s="1"/>
  <c r="J22" i="1"/>
  <c r="J107" i="1" s="1"/>
  <c r="K22" i="1"/>
  <c r="K107" i="1" s="1"/>
  <c r="L22" i="1"/>
  <c r="L107" i="1" s="1"/>
  <c r="M22" i="1"/>
  <c r="M107" i="1" s="1"/>
  <c r="N22" i="1"/>
  <c r="N107" i="1" s="1"/>
  <c r="O22" i="1"/>
  <c r="O107" i="1" s="1"/>
  <c r="C22" i="1"/>
  <c r="C107" i="1" s="1"/>
  <c r="O321" i="1"/>
  <c r="N321" i="1"/>
  <c r="N314" i="1"/>
  <c r="C165" i="1"/>
  <c r="G278" i="1"/>
  <c r="H278" i="1" s="1"/>
  <c r="I278" i="1" s="1"/>
  <c r="J278" i="1" s="1"/>
  <c r="K278" i="1" s="1"/>
  <c r="L278" i="1" s="1"/>
  <c r="M278" i="1" s="1"/>
  <c r="N278" i="1" s="1"/>
  <c r="O278" i="1" s="1"/>
  <c r="E306" i="1"/>
  <c r="J332" i="14" l="1"/>
  <c r="J329" i="14"/>
  <c r="J261" i="14"/>
  <c r="J105" i="14"/>
  <c r="J117" i="14" s="1"/>
  <c r="K227" i="14"/>
  <c r="K248" i="14" s="1"/>
  <c r="K229" i="14"/>
  <c r="J249" i="14"/>
  <c r="E301" i="1"/>
  <c r="E295" i="1"/>
  <c r="E296" i="1" s="1"/>
  <c r="E290" i="1"/>
  <c r="C223" i="1"/>
  <c r="C229" i="1" s="1"/>
  <c r="K25" i="14" l="1"/>
  <c r="K253" i="14"/>
  <c r="K252" i="14"/>
  <c r="K251" i="14"/>
  <c r="K334" i="14" s="1"/>
  <c r="J255" i="14"/>
  <c r="J254" i="14"/>
  <c r="J335" i="14" s="1"/>
  <c r="J98" i="14"/>
  <c r="J262" i="14"/>
  <c r="J127" i="14" s="1"/>
  <c r="E302" i="1"/>
  <c r="E303" i="1" s="1"/>
  <c r="E305" i="1" s="1"/>
  <c r="E307" i="1" s="1"/>
  <c r="E287" i="1" s="1"/>
  <c r="J263" i="14" l="1"/>
  <c r="J142" i="14"/>
  <c r="J136" i="14" s="1"/>
  <c r="J99" i="14"/>
  <c r="C13" i="1"/>
  <c r="K258" i="14" l="1"/>
  <c r="J100" i="14"/>
  <c r="J137" i="14"/>
  <c r="J125" i="14"/>
  <c r="J128" i="14" s="1"/>
  <c r="J130" i="14" s="1"/>
  <c r="J131" i="14" s="1"/>
  <c r="E126" i="1"/>
  <c r="D126" i="1"/>
  <c r="C126" i="1"/>
  <c r="E122" i="1"/>
  <c r="D122" i="1"/>
  <c r="C122" i="1"/>
  <c r="J264" i="14" l="1"/>
  <c r="K129" i="14"/>
  <c r="J78" i="14"/>
  <c r="J141" i="14"/>
  <c r="J79" i="14"/>
  <c r="K135" i="14"/>
  <c r="J328" i="14"/>
  <c r="J327" i="14"/>
  <c r="J101" i="14"/>
  <c r="C123" i="1"/>
  <c r="D123" i="1"/>
  <c r="E123" i="1"/>
  <c r="D151" i="1"/>
  <c r="D93" i="1" s="1"/>
  <c r="E151" i="1"/>
  <c r="C151" i="1"/>
  <c r="C93" i="1" s="1"/>
  <c r="C85" i="1"/>
  <c r="C71" i="1"/>
  <c r="C226" i="1"/>
  <c r="D190" i="1"/>
  <c r="D189" i="1" s="1"/>
  <c r="E190" i="1"/>
  <c r="E189" i="1" s="1"/>
  <c r="C195" i="1"/>
  <c r="C245" i="1"/>
  <c r="D243" i="1"/>
  <c r="D239" i="1"/>
  <c r="D245" i="1" s="1"/>
  <c r="C139" i="1"/>
  <c r="C84" i="1"/>
  <c r="C237" i="1"/>
  <c r="F164" i="1"/>
  <c r="C236" i="1"/>
  <c r="C16" i="1" l="1"/>
  <c r="R124" i="1" s="1"/>
  <c r="R126" i="1" s="1"/>
  <c r="K265" i="14"/>
  <c r="K143" i="14"/>
  <c r="K26" i="14" s="1"/>
  <c r="K28" i="14" s="1"/>
  <c r="J83" i="14"/>
  <c r="J90" i="14" s="1"/>
  <c r="K224" i="14"/>
  <c r="K140" i="14"/>
  <c r="E93" i="1"/>
  <c r="E152" i="1"/>
  <c r="C152" i="1"/>
  <c r="D152" i="1"/>
  <c r="D244" i="1"/>
  <c r="E239" i="1" s="1"/>
  <c r="C38" i="1" l="1"/>
  <c r="C259" i="1"/>
  <c r="K225" i="14"/>
  <c r="L223" i="14" s="1"/>
  <c r="K230" i="14"/>
  <c r="K231" i="14" s="1"/>
  <c r="J331" i="14"/>
  <c r="J102" i="14"/>
  <c r="J330" i="14"/>
  <c r="K29" i="14"/>
  <c r="K30" i="14" s="1"/>
  <c r="K32" i="14" s="1"/>
  <c r="E244" i="1"/>
  <c r="F239" i="1" s="1"/>
  <c r="E245" i="1"/>
  <c r="K329" i="14" l="1"/>
  <c r="K261" i="14"/>
  <c r="K332" i="14"/>
  <c r="K105" i="14"/>
  <c r="K117" i="14" s="1"/>
  <c r="L229" i="14"/>
  <c r="K249" i="14"/>
  <c r="L227" i="14"/>
  <c r="L248" i="14" s="1"/>
  <c r="F244" i="1"/>
  <c r="G239" i="1" s="1"/>
  <c r="F245" i="1"/>
  <c r="L25" i="14" l="1"/>
  <c r="L253" i="14"/>
  <c r="L252" i="14"/>
  <c r="L251" i="14"/>
  <c r="L334" i="14" s="1"/>
  <c r="K255" i="14"/>
  <c r="K254" i="14"/>
  <c r="K335" i="14" s="1"/>
  <c r="K98" i="14"/>
  <c r="K262" i="14"/>
  <c r="K127" i="14" s="1"/>
  <c r="K142" i="14" s="1"/>
  <c r="K136" i="14" s="1"/>
  <c r="G244" i="1"/>
  <c r="H239" i="1" s="1"/>
  <c r="G245" i="1"/>
  <c r="K263" i="14" l="1"/>
  <c r="K125" i="14"/>
  <c r="K128" i="14" s="1"/>
  <c r="K130" i="14" s="1"/>
  <c r="K131" i="14" s="1"/>
  <c r="K137" i="14"/>
  <c r="L258" i="14"/>
  <c r="K100" i="14"/>
  <c r="K328" i="14" s="1"/>
  <c r="K99" i="14"/>
  <c r="K101" i="14" s="1"/>
  <c r="H244" i="1"/>
  <c r="I239" i="1" s="1"/>
  <c r="H245" i="1"/>
  <c r="K327" i="14" l="1"/>
  <c r="K264" i="14"/>
  <c r="K141" i="14"/>
  <c r="L129" i="14"/>
  <c r="K78" i="14"/>
  <c r="L135" i="14"/>
  <c r="K79" i="14"/>
  <c r="I244" i="1"/>
  <c r="J239" i="1" s="1"/>
  <c r="I245" i="1"/>
  <c r="L143" i="14" l="1"/>
  <c r="L26" i="14" s="1"/>
  <c r="L28" i="14" s="1"/>
  <c r="L265" i="14"/>
  <c r="K83" i="14"/>
  <c r="K90" i="14" s="1"/>
  <c r="L224" i="14"/>
  <c r="L140" i="14"/>
  <c r="J244" i="1"/>
  <c r="K239" i="1" s="1"/>
  <c r="J245" i="1"/>
  <c r="L225" i="14" l="1"/>
  <c r="M223" i="14" s="1"/>
  <c r="L230" i="14"/>
  <c r="L231" i="14" s="1"/>
  <c r="K331" i="14"/>
  <c r="K102" i="14"/>
  <c r="K330" i="14"/>
  <c r="L29" i="14"/>
  <c r="L30" i="14" s="1"/>
  <c r="L32" i="14" s="1"/>
  <c r="K244" i="1"/>
  <c r="L239" i="1" s="1"/>
  <c r="K245" i="1"/>
  <c r="L329" i="14" l="1"/>
  <c r="L261" i="14"/>
  <c r="L332" i="14"/>
  <c r="L105" i="14"/>
  <c r="L117" i="14" s="1"/>
  <c r="M229" i="14"/>
  <c r="L249" i="14"/>
  <c r="M227" i="14"/>
  <c r="M248" i="14" s="1"/>
  <c r="L244" i="1"/>
  <c r="M239" i="1" s="1"/>
  <c r="L245" i="1"/>
  <c r="M25" i="14" l="1"/>
  <c r="M253" i="14"/>
  <c r="M252" i="14"/>
  <c r="M251" i="14"/>
  <c r="M334" i="14" s="1"/>
  <c r="L254" i="14"/>
  <c r="L335" i="14" s="1"/>
  <c r="L255" i="14"/>
  <c r="L98" i="14"/>
  <c r="L262" i="14"/>
  <c r="L127" i="14" s="1"/>
  <c r="L142" i="14" s="1"/>
  <c r="L136" i="14" s="1"/>
  <c r="M244" i="1"/>
  <c r="N239" i="1" s="1"/>
  <c r="M245" i="1"/>
  <c r="L263" i="14" l="1"/>
  <c r="L125" i="14"/>
  <c r="L137" i="14"/>
  <c r="M258" i="14"/>
  <c r="L100" i="14"/>
  <c r="L328" i="14" s="1"/>
  <c r="L128" i="14"/>
  <c r="L130" i="14" s="1"/>
  <c r="L131" i="14" s="1"/>
  <c r="L327" i="14"/>
  <c r="L99" i="14"/>
  <c r="L101" i="14" s="1"/>
  <c r="N244" i="1"/>
  <c r="O239" i="1" s="1"/>
  <c r="N245" i="1"/>
  <c r="L78" i="14" l="1"/>
  <c r="L264" i="14"/>
  <c r="M129" i="14"/>
  <c r="L141" i="14"/>
  <c r="M135" i="14"/>
  <c r="L79" i="14"/>
  <c r="O244" i="1"/>
  <c r="O245" i="1"/>
  <c r="M143" i="14" l="1"/>
  <c r="M26" i="14" s="1"/>
  <c r="M28" i="14" s="1"/>
  <c r="M265" i="14"/>
  <c r="M224" i="14"/>
  <c r="M230" i="14" s="1"/>
  <c r="M231" i="14" s="1"/>
  <c r="M140" i="14"/>
  <c r="L83" i="14"/>
  <c r="L90" i="14" s="1"/>
  <c r="D233" i="1"/>
  <c r="C224" i="1"/>
  <c r="D222" i="1" s="1"/>
  <c r="D227" i="1"/>
  <c r="F162" i="1"/>
  <c r="E162" i="1"/>
  <c r="D162" i="1"/>
  <c r="N229" i="14" l="1"/>
  <c r="L331" i="14"/>
  <c r="L102" i="14"/>
  <c r="L330" i="14"/>
  <c r="M225" i="14"/>
  <c r="N223" i="14" s="1"/>
  <c r="M29" i="14"/>
  <c r="M30" i="14" s="1"/>
  <c r="M32" i="14" s="1"/>
  <c r="D226" i="1"/>
  <c r="E227" i="1"/>
  <c r="F227" i="1" s="1"/>
  <c r="D236" i="1"/>
  <c r="E233" i="1" s="1"/>
  <c r="D237" i="1"/>
  <c r="H174" i="1"/>
  <c r="C264" i="1"/>
  <c r="D71" i="1"/>
  <c r="D70" i="1"/>
  <c r="D30" i="1" s="1"/>
  <c r="E258" i="1"/>
  <c r="D74" i="1"/>
  <c r="D21" i="1" s="1"/>
  <c r="E108" i="1"/>
  <c r="D78" i="1"/>
  <c r="E78" i="1"/>
  <c r="C78" i="1"/>
  <c r="D142" i="1"/>
  <c r="E142" i="1"/>
  <c r="C142" i="1"/>
  <c r="F134" i="1"/>
  <c r="E134" i="1"/>
  <c r="E135" i="1" s="1"/>
  <c r="E124" i="1" s="1"/>
  <c r="D134" i="1"/>
  <c r="D135" i="1" s="1"/>
  <c r="D124" i="1" s="1"/>
  <c r="C135" i="1"/>
  <c r="C124" i="1" s="1"/>
  <c r="C218" i="1"/>
  <c r="D85" i="1"/>
  <c r="F185" i="1"/>
  <c r="G185" i="1" s="1"/>
  <c r="C184" i="1"/>
  <c r="C183" i="1"/>
  <c r="F182" i="1"/>
  <c r="E180" i="1"/>
  <c r="E294" i="1" s="1"/>
  <c r="D180" i="1"/>
  <c r="C180" i="1"/>
  <c r="E175" i="1"/>
  <c r="E85" i="1" s="1"/>
  <c r="O174" i="1"/>
  <c r="N174" i="1"/>
  <c r="M174" i="1"/>
  <c r="L174" i="1"/>
  <c r="K174" i="1"/>
  <c r="I174" i="1"/>
  <c r="G174" i="1"/>
  <c r="F174" i="1"/>
  <c r="D108" i="1"/>
  <c r="C206" i="1"/>
  <c r="D206" i="1"/>
  <c r="E206" i="1"/>
  <c r="F206" i="1"/>
  <c r="G206" i="1"/>
  <c r="H206" i="1"/>
  <c r="I206" i="1"/>
  <c r="J206" i="1"/>
  <c r="K206" i="1"/>
  <c r="L206" i="1"/>
  <c r="M206" i="1"/>
  <c r="N206" i="1"/>
  <c r="O206" i="1"/>
  <c r="C197" i="1"/>
  <c r="D197" i="1"/>
  <c r="E197" i="1"/>
  <c r="F197" i="1"/>
  <c r="G197" i="1"/>
  <c r="H197" i="1"/>
  <c r="I197" i="1"/>
  <c r="J197" i="1"/>
  <c r="K197" i="1"/>
  <c r="L197" i="1"/>
  <c r="M197" i="1"/>
  <c r="N197" i="1"/>
  <c r="O197" i="1"/>
  <c r="D84" i="1"/>
  <c r="E84" i="1"/>
  <c r="D92" i="1"/>
  <c r="E92" i="1"/>
  <c r="C92" i="1"/>
  <c r="D91" i="1"/>
  <c r="E91" i="1"/>
  <c r="C91" i="1"/>
  <c r="D86" i="1"/>
  <c r="E86" i="1"/>
  <c r="C86" i="1"/>
  <c r="D81" i="1"/>
  <c r="E81" i="1"/>
  <c r="C81" i="1"/>
  <c r="D80" i="1"/>
  <c r="E80" i="1"/>
  <c r="C80" i="1"/>
  <c r="D79" i="1"/>
  <c r="E79" i="1"/>
  <c r="C79" i="1"/>
  <c r="C108" i="1"/>
  <c r="X6" i="6"/>
  <c r="AJ6" i="6"/>
  <c r="AI4" i="6"/>
  <c r="AH4" i="6"/>
  <c r="AD5" i="6"/>
  <c r="X5" i="6"/>
  <c r="Y5" i="6"/>
  <c r="AD6" i="6"/>
  <c r="Q17" i="6" s="1"/>
  <c r="F13" i="6"/>
  <c r="E74" i="1"/>
  <c r="E21" i="1" s="1"/>
  <c r="H11" i="6"/>
  <c r="G11" i="6"/>
  <c r="C74" i="1"/>
  <c r="C21" i="1" s="1"/>
  <c r="H10" i="6"/>
  <c r="G10" i="6"/>
  <c r="T8" i="6"/>
  <c r="T7" i="6"/>
  <c r="T6" i="6"/>
  <c r="T5" i="6"/>
  <c r="U19" i="6"/>
  <c r="H19" i="6"/>
  <c r="F19" i="6"/>
  <c r="U18" i="6"/>
  <c r="H18" i="6"/>
  <c r="F18" i="6"/>
  <c r="U17" i="6"/>
  <c r="U21" i="6" s="1"/>
  <c r="H17" i="6"/>
  <c r="H21" i="6" s="1"/>
  <c r="F17" i="6"/>
  <c r="AC11" i="6"/>
  <c r="AB11" i="6"/>
  <c r="AA11" i="6"/>
  <c r="W11" i="6"/>
  <c r="V11" i="6"/>
  <c r="U11" i="6"/>
  <c r="S11" i="6"/>
  <c r="Q11" i="6"/>
  <c r="N11" i="6"/>
  <c r="M11" i="6"/>
  <c r="K11" i="6"/>
  <c r="J11" i="6"/>
  <c r="I11" i="6"/>
  <c r="AC10" i="6"/>
  <c r="AB10" i="6"/>
  <c r="AA10" i="6"/>
  <c r="W10" i="6"/>
  <c r="V10" i="6"/>
  <c r="U10" i="6"/>
  <c r="S10" i="6"/>
  <c r="Q10" i="6"/>
  <c r="N10" i="6"/>
  <c r="M10" i="6"/>
  <c r="K10" i="6"/>
  <c r="J10" i="6"/>
  <c r="I10" i="6"/>
  <c r="AJ8" i="6"/>
  <c r="AI8" i="6"/>
  <c r="AH8" i="6"/>
  <c r="AG8" i="6"/>
  <c r="AF8" i="6"/>
  <c r="AD8" i="6"/>
  <c r="Z8" i="6"/>
  <c r="Y8" i="6"/>
  <c r="X8" i="6"/>
  <c r="R8" i="6"/>
  <c r="P8" i="6"/>
  <c r="O8" i="6"/>
  <c r="L8" i="6"/>
  <c r="F8" i="6"/>
  <c r="AE8" i="6" s="1"/>
  <c r="AJ7" i="6"/>
  <c r="AI7" i="6"/>
  <c r="AH7" i="6"/>
  <c r="AK7" i="6" s="1"/>
  <c r="AG7" i="6"/>
  <c r="AF7" i="6"/>
  <c r="AD7" i="6"/>
  <c r="Q18" i="6" s="1"/>
  <c r="Z7" i="6"/>
  <c r="V18" i="6" s="1"/>
  <c r="Y7" i="6"/>
  <c r="R18" i="6" s="1"/>
  <c r="X7" i="6"/>
  <c r="S18" i="6" s="1"/>
  <c r="R7" i="6"/>
  <c r="W18" i="6" s="1"/>
  <c r="P7" i="6"/>
  <c r="O7" i="6"/>
  <c r="I18" i="6" s="1"/>
  <c r="L7" i="6"/>
  <c r="G18" i="6" s="1"/>
  <c r="F7" i="6"/>
  <c r="AE7" i="6" s="1"/>
  <c r="P18" i="6" s="1"/>
  <c r="AI6" i="6"/>
  <c r="AH6" i="6"/>
  <c r="AG6" i="6"/>
  <c r="AF6" i="6"/>
  <c r="Z6" i="6"/>
  <c r="V17" i="6" s="1"/>
  <c r="Y6" i="6"/>
  <c r="R17" i="6" s="1"/>
  <c r="S17" i="6"/>
  <c r="R6" i="6"/>
  <c r="W17" i="6" s="1"/>
  <c r="P6" i="6"/>
  <c r="O6" i="6"/>
  <c r="I17" i="6" s="1"/>
  <c r="L6" i="6"/>
  <c r="G17" i="6" s="1"/>
  <c r="F6" i="6"/>
  <c r="AJ5" i="6"/>
  <c r="AI5" i="6"/>
  <c r="AH5" i="6"/>
  <c r="AK5" i="6" s="1"/>
  <c r="AG5" i="6"/>
  <c r="AF5" i="6"/>
  <c r="AE5" i="6"/>
  <c r="Z5" i="6"/>
  <c r="R5" i="6"/>
  <c r="P5" i="6"/>
  <c r="O5" i="6"/>
  <c r="L5" i="6"/>
  <c r="F5" i="6"/>
  <c r="E5" i="6"/>
  <c r="AJ4" i="6"/>
  <c r="AI11" i="6"/>
  <c r="AG4" i="6"/>
  <c r="AG10" i="6" s="1"/>
  <c r="AF4" i="6"/>
  <c r="AD4" i="6"/>
  <c r="Q19" i="6" s="1"/>
  <c r="Z4" i="6"/>
  <c r="V19" i="6" s="1"/>
  <c r="Y4" i="6"/>
  <c r="R19" i="6" s="1"/>
  <c r="X4" i="6"/>
  <c r="S19" i="6" s="1"/>
  <c r="T4" i="6"/>
  <c r="T11" i="6" s="1"/>
  <c r="R4" i="6"/>
  <c r="W19" i="6" s="1"/>
  <c r="P4" i="6"/>
  <c r="P11" i="6" s="1"/>
  <c r="O4" i="6"/>
  <c r="O10" i="6" s="1"/>
  <c r="L4" i="6"/>
  <c r="G19" i="6" s="1"/>
  <c r="E71" i="1"/>
  <c r="E70" i="1"/>
  <c r="E30" i="1" s="1"/>
  <c r="C70" i="1"/>
  <c r="C30" i="1" s="1"/>
  <c r="E66" i="1"/>
  <c r="E67" i="1" s="1"/>
  <c r="E26" i="1" s="1"/>
  <c r="D66" i="1"/>
  <c r="D67" i="1" s="1"/>
  <c r="D26" i="1" s="1"/>
  <c r="C66" i="1"/>
  <c r="C67" i="1" s="1"/>
  <c r="C26" i="1" s="1"/>
  <c r="D63" i="1"/>
  <c r="D19" i="1" s="1"/>
  <c r="E63" i="1"/>
  <c r="E19" i="1" s="1"/>
  <c r="C63" i="1"/>
  <c r="C19" i="1" s="1"/>
  <c r="D58" i="1"/>
  <c r="D18" i="1" s="1"/>
  <c r="E58" i="1"/>
  <c r="E18" i="1" s="1"/>
  <c r="C58" i="1"/>
  <c r="C18" i="1" s="1"/>
  <c r="D54" i="1"/>
  <c r="D10" i="1" s="1"/>
  <c r="E54" i="1"/>
  <c r="E10" i="1" s="1"/>
  <c r="C54" i="1"/>
  <c r="C10" i="1" s="1"/>
  <c r="D51" i="1"/>
  <c r="D6" i="1" s="1"/>
  <c r="E51" i="1"/>
  <c r="E6" i="1" s="1"/>
  <c r="C51" i="1"/>
  <c r="C6" i="1" s="1"/>
  <c r="X11" i="6" l="1"/>
  <c r="AK6" i="6"/>
  <c r="AJ11" i="6"/>
  <c r="E7" i="6"/>
  <c r="M18" i="6" s="1"/>
  <c r="X10" i="6"/>
  <c r="L11" i="6"/>
  <c r="O11" i="6"/>
  <c r="I19" i="6"/>
  <c r="I21" i="6" s="1"/>
  <c r="AK8" i="6"/>
  <c r="O19" i="6"/>
  <c r="AG11" i="6"/>
  <c r="T18" i="6"/>
  <c r="F21" i="6"/>
  <c r="AK4" i="6"/>
  <c r="AF11" i="6"/>
  <c r="F17" i="1"/>
  <c r="E16" i="1"/>
  <c r="T124" i="1" s="1"/>
  <c r="T126" i="1" s="1"/>
  <c r="D16" i="1"/>
  <c r="M329" i="14"/>
  <c r="M261" i="14"/>
  <c r="M332" i="14"/>
  <c r="M105" i="14"/>
  <c r="M117" i="14" s="1"/>
  <c r="M249" i="14"/>
  <c r="N227" i="14"/>
  <c r="N248" i="14" s="1"/>
  <c r="T17" i="6"/>
  <c r="AE6" i="6"/>
  <c r="N17" i="6" s="1"/>
  <c r="AD11" i="6"/>
  <c r="E6" i="6"/>
  <c r="E10" i="6" s="1"/>
  <c r="J18" i="6"/>
  <c r="F11" i="6"/>
  <c r="O18" i="6"/>
  <c r="F10" i="6"/>
  <c r="C178" i="1"/>
  <c r="C179" i="1" s="1"/>
  <c r="G182" i="1"/>
  <c r="E106" i="1"/>
  <c r="C106" i="1"/>
  <c r="F264" i="1"/>
  <c r="F142" i="1"/>
  <c r="E94" i="1"/>
  <c r="D94" i="1"/>
  <c r="C94" i="1"/>
  <c r="F177" i="1"/>
  <c r="F183" i="1" s="1"/>
  <c r="F270" i="1" s="1"/>
  <c r="E95" i="1"/>
  <c r="C176" i="1"/>
  <c r="C95" i="1"/>
  <c r="D176" i="1"/>
  <c r="D95" i="1"/>
  <c r="G227" i="1"/>
  <c r="E236" i="1"/>
  <c r="E237" i="1"/>
  <c r="E176" i="1"/>
  <c r="E264" i="1"/>
  <c r="D264" i="1"/>
  <c r="D177" i="1"/>
  <c r="D183" i="1" s="1"/>
  <c r="E143" i="1"/>
  <c r="D143" i="1"/>
  <c r="F172" i="1"/>
  <c r="H185" i="1"/>
  <c r="I185" i="1" s="1"/>
  <c r="J185" i="1" s="1"/>
  <c r="E177" i="1"/>
  <c r="T23" i="6"/>
  <c r="W21" i="6"/>
  <c r="W20" i="6"/>
  <c r="S20" i="6"/>
  <c r="S21" i="6"/>
  <c r="V21" i="6"/>
  <c r="V20" i="6"/>
  <c r="G21" i="6"/>
  <c r="G20" i="6"/>
  <c r="Q21" i="6"/>
  <c r="Q20" i="6"/>
  <c r="R21" i="6"/>
  <c r="R20" i="6"/>
  <c r="AK11" i="6"/>
  <c r="AK10" i="6"/>
  <c r="M17" i="6"/>
  <c r="Z10" i="6"/>
  <c r="AH10" i="6"/>
  <c r="AH11" i="6"/>
  <c r="O17" i="6"/>
  <c r="L18" i="6"/>
  <c r="F20" i="6"/>
  <c r="AI10" i="6"/>
  <c r="E18" i="6"/>
  <c r="AF10" i="6"/>
  <c r="Y10" i="6"/>
  <c r="Y11" i="6"/>
  <c r="U20" i="6"/>
  <c r="Z11" i="6"/>
  <c r="E8" i="6"/>
  <c r="E11" i="6" s="1"/>
  <c r="T10" i="6"/>
  <c r="AJ10" i="6"/>
  <c r="N18" i="6"/>
  <c r="H20" i="6"/>
  <c r="AD10" i="6"/>
  <c r="K17" i="6"/>
  <c r="P10" i="6"/>
  <c r="L10" i="6"/>
  <c r="T19" i="6"/>
  <c r="T20" i="6" s="1"/>
  <c r="AE4" i="6"/>
  <c r="N311" i="1" l="1"/>
  <c r="N312" i="14"/>
  <c r="I20" i="6"/>
  <c r="O311" i="1"/>
  <c r="O312" i="14"/>
  <c r="K18" i="6"/>
  <c r="S124" i="1"/>
  <c r="S126" i="1" s="1"/>
  <c r="D106" i="1" s="1"/>
  <c r="T21" i="6"/>
  <c r="F24" i="1"/>
  <c r="D259" i="1"/>
  <c r="E259" i="1"/>
  <c r="G17" i="1"/>
  <c r="N25" i="14"/>
  <c r="N251" i="14"/>
  <c r="N334" i="14" s="1"/>
  <c r="N252" i="14"/>
  <c r="N253" i="14"/>
  <c r="M262" i="14"/>
  <c r="M127" i="14" s="1"/>
  <c r="M142" i="14" s="1"/>
  <c r="M136" i="14" s="1"/>
  <c r="M254" i="14"/>
  <c r="M335" i="14" s="1"/>
  <c r="M255" i="14"/>
  <c r="M98" i="14"/>
  <c r="L17" i="6"/>
  <c r="E17" i="6"/>
  <c r="J17" i="6"/>
  <c r="H13" i="6"/>
  <c r="D178" i="1"/>
  <c r="D179" i="1" s="1"/>
  <c r="F178" i="1"/>
  <c r="F180" i="1" s="1"/>
  <c r="G177" i="1" s="1"/>
  <c r="G183" i="1" s="1"/>
  <c r="H227" i="1"/>
  <c r="F233" i="1"/>
  <c r="F237" i="1" s="1"/>
  <c r="F173" i="1"/>
  <c r="F175" i="1" s="1"/>
  <c r="D184" i="1"/>
  <c r="E184" i="1"/>
  <c r="E183" i="1"/>
  <c r="H182" i="1"/>
  <c r="N19" i="6"/>
  <c r="AE11" i="6"/>
  <c r="AE10" i="6"/>
  <c r="P19" i="6"/>
  <c r="O21" i="6"/>
  <c r="O20" i="6"/>
  <c r="L19" i="6"/>
  <c r="M19" i="6"/>
  <c r="M20" i="6" s="1"/>
  <c r="E19" i="6"/>
  <c r="K19" i="6"/>
  <c r="J19" i="6"/>
  <c r="P17" i="6"/>
  <c r="K20" i="6" l="1"/>
  <c r="N310" i="1"/>
  <c r="N311" i="14"/>
  <c r="O310" i="1"/>
  <c r="O311" i="14"/>
  <c r="E20" i="6"/>
  <c r="L20" i="6"/>
  <c r="O313" i="14"/>
  <c r="O314" i="14" s="1"/>
  <c r="O316" i="14" s="1"/>
  <c r="O318" i="14" s="1"/>
  <c r="O320" i="14" s="1"/>
  <c r="O321" i="14" s="1"/>
  <c r="O312" i="1"/>
  <c r="N313" i="14"/>
  <c r="N312" i="1"/>
  <c r="N315" i="1" s="1"/>
  <c r="N317" i="1" s="1"/>
  <c r="J20" i="6"/>
  <c r="H17" i="1"/>
  <c r="M263" i="14"/>
  <c r="M99" i="14"/>
  <c r="M125" i="14"/>
  <c r="M128" i="14" s="1"/>
  <c r="M130" i="14" s="1"/>
  <c r="M131" i="14" s="1"/>
  <c r="M137" i="14"/>
  <c r="N258" i="14"/>
  <c r="M100" i="14"/>
  <c r="M328" i="14" s="1"/>
  <c r="J21" i="6"/>
  <c r="F95" i="1"/>
  <c r="G270" i="1"/>
  <c r="E178" i="1"/>
  <c r="E179" i="1" s="1"/>
  <c r="F176" i="1"/>
  <c r="F236" i="1"/>
  <c r="G233" i="1" s="1"/>
  <c r="G237" i="1" s="1"/>
  <c r="I227" i="1"/>
  <c r="G178" i="1"/>
  <c r="G180" i="1" s="1"/>
  <c r="G173" i="1"/>
  <c r="G172" i="1"/>
  <c r="F85" i="1"/>
  <c r="I182" i="1"/>
  <c r="K21" i="6"/>
  <c r="P21" i="6"/>
  <c r="P20" i="6"/>
  <c r="N21" i="6"/>
  <c r="N20" i="6"/>
  <c r="E21" i="6"/>
  <c r="L21" i="6"/>
  <c r="M21" i="6"/>
  <c r="N314" i="14" l="1"/>
  <c r="N316" i="14" s="1"/>
  <c r="N318" i="14" s="1"/>
  <c r="N320" i="14" s="1"/>
  <c r="N321" i="14" s="1"/>
  <c r="O315" i="1"/>
  <c r="O287" i="14"/>
  <c r="O289" i="14" s="1"/>
  <c r="I17" i="1"/>
  <c r="N135" i="14"/>
  <c r="M79" i="14"/>
  <c r="M141" i="14"/>
  <c r="M78" i="14"/>
  <c r="M83" i="14" s="1"/>
  <c r="M90" i="14" s="1"/>
  <c r="M264" i="14"/>
  <c r="N129" i="14"/>
  <c r="M101" i="14"/>
  <c r="M327" i="14"/>
  <c r="G175" i="1"/>
  <c r="G176" i="1" s="1"/>
  <c r="G236" i="1"/>
  <c r="H233" i="1" s="1"/>
  <c r="H236" i="1" s="1"/>
  <c r="I233" i="1" s="1"/>
  <c r="H177" i="1"/>
  <c r="H183" i="1" s="1"/>
  <c r="H270" i="1" s="1"/>
  <c r="G95" i="1"/>
  <c r="J227" i="1"/>
  <c r="K185" i="1"/>
  <c r="J182" i="1"/>
  <c r="O300" i="14" l="1"/>
  <c r="O301" i="14" s="1"/>
  <c r="O303" i="14" s="1"/>
  <c r="E301" i="14" s="1"/>
  <c r="C288" i="14" s="1"/>
  <c r="C289" i="14" s="1"/>
  <c r="O291" i="14"/>
  <c r="J17" i="1"/>
  <c r="N224" i="14"/>
  <c r="N230" i="14" s="1"/>
  <c r="N231" i="14" s="1"/>
  <c r="N140" i="14"/>
  <c r="M331" i="14"/>
  <c r="M102" i="14"/>
  <c r="M330" i="14"/>
  <c r="N265" i="14"/>
  <c r="N143" i="14"/>
  <c r="N26" i="14" s="1"/>
  <c r="N28" i="14" s="1"/>
  <c r="H178" i="1"/>
  <c r="H180" i="1" s="1"/>
  <c r="I177" i="1" s="1"/>
  <c r="I183" i="1" s="1"/>
  <c r="I270" i="1" s="1"/>
  <c r="G85" i="1"/>
  <c r="H172" i="1"/>
  <c r="H237" i="1"/>
  <c r="H173" i="1"/>
  <c r="K227" i="1"/>
  <c r="I236" i="1"/>
  <c r="J233" i="1" s="1"/>
  <c r="I237" i="1"/>
  <c r="K182" i="1"/>
  <c r="L185" i="1"/>
  <c r="D288" i="14" l="1"/>
  <c r="D287" i="14"/>
  <c r="K17" i="1"/>
  <c r="N29" i="14"/>
  <c r="N30" i="14" s="1"/>
  <c r="N32" i="14" s="1"/>
  <c r="O229" i="14"/>
  <c r="N225" i="14"/>
  <c r="O223" i="14" s="1"/>
  <c r="H95" i="1"/>
  <c r="I178" i="1"/>
  <c r="I180" i="1" s="1"/>
  <c r="J177" i="1" s="1"/>
  <c r="J183" i="1" s="1"/>
  <c r="J270" i="1" s="1"/>
  <c r="H175" i="1"/>
  <c r="H176" i="1" s="1"/>
  <c r="I173" i="1"/>
  <c r="L227" i="1"/>
  <c r="J236" i="1"/>
  <c r="K233" i="1" s="1"/>
  <c r="J237" i="1"/>
  <c r="M185" i="1"/>
  <c r="L182" i="1"/>
  <c r="D289" i="14" l="1"/>
  <c r="E289" i="14"/>
  <c r="L17" i="1"/>
  <c r="N332" i="14"/>
  <c r="N329" i="14"/>
  <c r="N105" i="14"/>
  <c r="N117" i="14" s="1"/>
  <c r="N261" i="14"/>
  <c r="O227" i="14"/>
  <c r="O248" i="14" s="1"/>
  <c r="N249" i="14"/>
  <c r="I95" i="1"/>
  <c r="I172" i="1"/>
  <c r="I175" i="1" s="1"/>
  <c r="I176" i="1" s="1"/>
  <c r="J178" i="1"/>
  <c r="J180" i="1" s="1"/>
  <c r="K177" i="1" s="1"/>
  <c r="K183" i="1" s="1"/>
  <c r="K270" i="1" s="1"/>
  <c r="H85" i="1"/>
  <c r="J173" i="1"/>
  <c r="M227" i="1"/>
  <c r="K236" i="1"/>
  <c r="L233" i="1" s="1"/>
  <c r="K237" i="1"/>
  <c r="M182" i="1"/>
  <c r="N185" i="1"/>
  <c r="D280" i="14" l="1"/>
  <c r="O296" i="14"/>
  <c r="O292" i="14"/>
  <c r="D313" i="14" s="1"/>
  <c r="M17" i="1"/>
  <c r="N254" i="14"/>
  <c r="N335" i="14" s="1"/>
  <c r="N255" i="14"/>
  <c r="N98" i="14"/>
  <c r="O25" i="14"/>
  <c r="O251" i="14"/>
  <c r="O334" i="14" s="1"/>
  <c r="O252" i="14"/>
  <c r="O253" i="14"/>
  <c r="N262" i="14"/>
  <c r="N127" i="14" s="1"/>
  <c r="N142" i="14" s="1"/>
  <c r="N136" i="14" s="1"/>
  <c r="J95" i="1"/>
  <c r="K178" i="1"/>
  <c r="K180" i="1" s="1"/>
  <c r="L177" i="1" s="1"/>
  <c r="L183" i="1" s="1"/>
  <c r="L270" i="1" s="1"/>
  <c r="I85" i="1"/>
  <c r="J172" i="1"/>
  <c r="J175" i="1" s="1"/>
  <c r="K173" i="1"/>
  <c r="N227" i="1"/>
  <c r="L236" i="1"/>
  <c r="M233" i="1" s="1"/>
  <c r="L237" i="1"/>
  <c r="O185" i="1"/>
  <c r="N182" i="1"/>
  <c r="H280" i="14" l="1"/>
  <c r="H281" i="14" s="1"/>
  <c r="L280" i="14"/>
  <c r="L281" i="14" s="1"/>
  <c r="G280" i="14"/>
  <c r="G281" i="14" s="1"/>
  <c r="N280" i="14"/>
  <c r="N281" i="14" s="1"/>
  <c r="K280" i="14"/>
  <c r="K281" i="14" s="1"/>
  <c r="F280" i="14"/>
  <c r="F281" i="14" s="1"/>
  <c r="J280" i="14"/>
  <c r="J281" i="14" s="1"/>
  <c r="O280" i="14"/>
  <c r="O281" i="14" s="1"/>
  <c r="M280" i="14"/>
  <c r="M281" i="14" s="1"/>
  <c r="I280" i="14"/>
  <c r="I281" i="14" s="1"/>
  <c r="N17" i="1"/>
  <c r="N263" i="14"/>
  <c r="O258" i="14" s="1"/>
  <c r="N125" i="14"/>
  <c r="N137" i="14"/>
  <c r="N128" i="14"/>
  <c r="N130" i="14" s="1"/>
  <c r="N131" i="14" s="1"/>
  <c r="N99" i="14"/>
  <c r="K95" i="1"/>
  <c r="L178" i="1"/>
  <c r="L180" i="1" s="1"/>
  <c r="M177" i="1" s="1"/>
  <c r="M183" i="1" s="1"/>
  <c r="M270" i="1" s="1"/>
  <c r="J176" i="1"/>
  <c r="K172" i="1"/>
  <c r="K175" i="1" s="1"/>
  <c r="K176" i="1" s="1"/>
  <c r="J85" i="1"/>
  <c r="L173" i="1"/>
  <c r="O227" i="1"/>
  <c r="M236" i="1"/>
  <c r="N233" i="1" s="1"/>
  <c r="M237" i="1"/>
  <c r="O182" i="1"/>
  <c r="C143" i="1"/>
  <c r="O282" i="14" l="1"/>
  <c r="O297" i="14"/>
  <c r="E313" i="14" s="1"/>
  <c r="O17" i="1"/>
  <c r="N100" i="14"/>
  <c r="N101" i="14" s="1"/>
  <c r="N141" i="14"/>
  <c r="N78" i="14"/>
  <c r="N264" i="14"/>
  <c r="O129" i="14"/>
  <c r="O135" i="14"/>
  <c r="N79" i="14"/>
  <c r="L95" i="1"/>
  <c r="M178" i="1"/>
  <c r="M180" i="1" s="1"/>
  <c r="N177" i="1" s="1"/>
  <c r="N183" i="1" s="1"/>
  <c r="N270" i="1" s="1"/>
  <c r="L172" i="1"/>
  <c r="L175" i="1" s="1"/>
  <c r="K85" i="1"/>
  <c r="M173" i="1"/>
  <c r="N236" i="1"/>
  <c r="O233" i="1" s="1"/>
  <c r="N237" i="1"/>
  <c r="E312" i="14" l="1"/>
  <c r="E314" i="14" s="1"/>
  <c r="E316" i="14" s="1"/>
  <c r="E317" i="14" s="1"/>
  <c r="D312" i="14"/>
  <c r="D314" i="14" s="1"/>
  <c r="D316" i="14" s="1"/>
  <c r="N328" i="14"/>
  <c r="N327" i="14"/>
  <c r="O265" i="14"/>
  <c r="O143" i="14"/>
  <c r="O26" i="14" s="1"/>
  <c r="O28" i="14" s="1"/>
  <c r="O224" i="14"/>
  <c r="O230" i="14" s="1"/>
  <c r="O231" i="14" s="1"/>
  <c r="O140" i="14"/>
  <c r="N83" i="14"/>
  <c r="N90" i="14" s="1"/>
  <c r="M95" i="1"/>
  <c r="N178" i="1"/>
  <c r="N180" i="1" s="1"/>
  <c r="O177" i="1" s="1"/>
  <c r="O183" i="1" s="1"/>
  <c r="O270" i="1" s="1"/>
  <c r="L176" i="1"/>
  <c r="L85" i="1"/>
  <c r="M172" i="1"/>
  <c r="M175" i="1" s="1"/>
  <c r="M176" i="1" s="1"/>
  <c r="N173" i="1"/>
  <c r="O236" i="1"/>
  <c r="O237" i="1"/>
  <c r="D317" i="14" l="1"/>
  <c r="E333" i="14" s="1"/>
  <c r="N331" i="14"/>
  <c r="N102" i="14"/>
  <c r="N330" i="14"/>
  <c r="O225" i="14"/>
  <c r="O249" i="14" s="1"/>
  <c r="O29" i="14"/>
  <c r="O30" i="14" s="1"/>
  <c r="O32" i="14" s="1"/>
  <c r="N95" i="1"/>
  <c r="O178" i="1"/>
  <c r="O180" i="1" s="1"/>
  <c r="O95" i="1" s="1"/>
  <c r="N172" i="1"/>
  <c r="N175" i="1" s="1"/>
  <c r="N176" i="1" s="1"/>
  <c r="M85" i="1"/>
  <c r="O173" i="1"/>
  <c r="O332" i="14" l="1"/>
  <c r="O261" i="14"/>
  <c r="O329" i="14"/>
  <c r="O105" i="14"/>
  <c r="O117" i="14" s="1"/>
  <c r="O254" i="14"/>
  <c r="O335" i="14" s="1"/>
  <c r="O255" i="14"/>
  <c r="O98" i="14"/>
  <c r="N85" i="1"/>
  <c r="O172" i="1"/>
  <c r="O175" i="1" s="1"/>
  <c r="O176" i="1" s="1"/>
  <c r="O99" i="14" l="1"/>
  <c r="O262" i="14"/>
  <c r="O127" i="14" s="1"/>
  <c r="O142" i="14" s="1"/>
  <c r="O136" i="14" s="1"/>
  <c r="O85" i="1"/>
  <c r="O263" i="14" l="1"/>
  <c r="O100" i="14" s="1"/>
  <c r="O328" i="14" s="1"/>
  <c r="O125" i="14"/>
  <c r="O137" i="14"/>
  <c r="O79" i="14" s="1"/>
  <c r="O128" i="14"/>
  <c r="O130" i="14" s="1"/>
  <c r="O131" i="14" s="1"/>
  <c r="O101" i="14"/>
  <c r="O327" i="14"/>
  <c r="C190" i="1"/>
  <c r="C189" i="1" s="1"/>
  <c r="O264" i="14" l="1"/>
  <c r="O141" i="14"/>
  <c r="O78" i="14"/>
  <c r="O83" i="14" s="1"/>
  <c r="O90" i="14" s="1"/>
  <c r="C105" i="1"/>
  <c r="E105" i="1"/>
  <c r="D105" i="1"/>
  <c r="O331" i="14" l="1"/>
  <c r="O102" i="14"/>
  <c r="O330" i="14"/>
  <c r="C114" i="1"/>
  <c r="F188" i="1"/>
  <c r="F192" i="1" s="1"/>
  <c r="F21" i="1" l="1"/>
  <c r="F274" i="1" s="1"/>
  <c r="F105" i="1" l="1"/>
  <c r="E188" i="1"/>
  <c r="E195" i="1" s="1"/>
  <c r="D188" i="1"/>
  <c r="D195" i="1" s="1"/>
  <c r="O171" i="1"/>
  <c r="N171" i="1"/>
  <c r="M171" i="1"/>
  <c r="L171" i="1"/>
  <c r="K171" i="1"/>
  <c r="J171" i="1"/>
  <c r="I171" i="1"/>
  <c r="H171" i="1"/>
  <c r="G171" i="1"/>
  <c r="F171" i="1"/>
  <c r="E171" i="1"/>
  <c r="D171" i="1"/>
  <c r="C171" i="1"/>
  <c r="O161" i="1"/>
  <c r="N161" i="1"/>
  <c r="M161" i="1"/>
  <c r="L161" i="1"/>
  <c r="K161" i="1"/>
  <c r="J161" i="1"/>
  <c r="I161" i="1"/>
  <c r="H161" i="1"/>
  <c r="G161" i="1"/>
  <c r="F161" i="1"/>
  <c r="E161" i="1"/>
  <c r="D161" i="1"/>
  <c r="C161" i="1"/>
  <c r="O256" i="1"/>
  <c r="N256" i="1"/>
  <c r="M256" i="1"/>
  <c r="L256" i="1"/>
  <c r="K256" i="1"/>
  <c r="J256" i="1"/>
  <c r="I256" i="1"/>
  <c r="H256" i="1"/>
  <c r="G256" i="1"/>
  <c r="F256" i="1"/>
  <c r="E256" i="1"/>
  <c r="D256" i="1"/>
  <c r="C256" i="1"/>
  <c r="O221" i="1"/>
  <c r="N221" i="1"/>
  <c r="M221" i="1"/>
  <c r="L221" i="1"/>
  <c r="K221" i="1"/>
  <c r="J221" i="1"/>
  <c r="I221" i="1"/>
  <c r="H221" i="1"/>
  <c r="G221" i="1"/>
  <c r="F221" i="1"/>
  <c r="E221" i="1"/>
  <c r="D221" i="1"/>
  <c r="C221" i="1"/>
  <c r="O33" i="1"/>
  <c r="O48" i="1" s="1"/>
  <c r="N33" i="1"/>
  <c r="N48" i="1" s="1"/>
  <c r="M33" i="1"/>
  <c r="M48" i="1" s="1"/>
  <c r="L33" i="1"/>
  <c r="L48" i="1" s="1"/>
  <c r="K33" i="1"/>
  <c r="K48" i="1" s="1"/>
  <c r="J33" i="1"/>
  <c r="J48" i="1" s="1"/>
  <c r="I33" i="1"/>
  <c r="I48" i="1" s="1"/>
  <c r="H33" i="1"/>
  <c r="H48" i="1" s="1"/>
  <c r="G33" i="1"/>
  <c r="G48" i="1" s="1"/>
  <c r="F33" i="1"/>
  <c r="F48" i="1" s="1"/>
  <c r="E33" i="1"/>
  <c r="E48" i="1" s="1"/>
  <c r="D33" i="1"/>
  <c r="D48" i="1" s="1"/>
  <c r="C33" i="1"/>
  <c r="C48" i="1" s="1"/>
  <c r="O76" i="1"/>
  <c r="N76" i="1"/>
  <c r="M76" i="1"/>
  <c r="L76" i="1"/>
  <c r="K76" i="1"/>
  <c r="J76" i="1"/>
  <c r="I76" i="1"/>
  <c r="H76" i="1"/>
  <c r="G76" i="1"/>
  <c r="F76" i="1"/>
  <c r="E76" i="1"/>
  <c r="D76" i="1"/>
  <c r="C76" i="1"/>
  <c r="O103" i="1"/>
  <c r="N103" i="1"/>
  <c r="M103" i="1"/>
  <c r="L103" i="1"/>
  <c r="K103" i="1"/>
  <c r="J103" i="1"/>
  <c r="I103" i="1"/>
  <c r="H103" i="1"/>
  <c r="G103" i="1"/>
  <c r="F103" i="1"/>
  <c r="E103" i="1"/>
  <c r="D103" i="1"/>
  <c r="C103" i="1"/>
  <c r="O132" i="1"/>
  <c r="N132" i="1"/>
  <c r="M132" i="1"/>
  <c r="L132" i="1"/>
  <c r="K132" i="1"/>
  <c r="J132" i="1"/>
  <c r="I132" i="1"/>
  <c r="H132" i="1"/>
  <c r="G132" i="1"/>
  <c r="F132" i="1"/>
  <c r="E132" i="1"/>
  <c r="T123" i="1" s="1"/>
  <c r="D132" i="1"/>
  <c r="S123" i="1" s="1"/>
  <c r="C132" i="1"/>
  <c r="R123" i="1" s="1"/>
  <c r="O133" i="1"/>
  <c r="N133" i="1"/>
  <c r="M133" i="1"/>
  <c r="L133" i="1"/>
  <c r="K133" i="1"/>
  <c r="J133" i="1"/>
  <c r="I133" i="1"/>
  <c r="H133" i="1"/>
  <c r="G133" i="1"/>
  <c r="F133" i="1"/>
  <c r="E133" i="1"/>
  <c r="D133" i="1"/>
  <c r="C133" i="1"/>
  <c r="O145" i="1"/>
  <c r="N145" i="1"/>
  <c r="M145" i="1"/>
  <c r="L145" i="1"/>
  <c r="K145" i="1"/>
  <c r="J145" i="1"/>
  <c r="I145" i="1"/>
  <c r="H145" i="1"/>
  <c r="G145" i="1"/>
  <c r="F145" i="1"/>
  <c r="E145" i="1"/>
  <c r="T148" i="1" s="1"/>
  <c r="D145" i="1"/>
  <c r="S148" i="1" s="1"/>
  <c r="C145" i="1"/>
  <c r="R148" i="1" s="1"/>
  <c r="D187" i="1"/>
  <c r="E187" i="1"/>
  <c r="F187" i="1"/>
  <c r="G187" i="1"/>
  <c r="H187" i="1"/>
  <c r="I187" i="1"/>
  <c r="J187" i="1"/>
  <c r="K187" i="1"/>
  <c r="L187" i="1"/>
  <c r="M187" i="1"/>
  <c r="N187" i="1"/>
  <c r="O187" i="1"/>
  <c r="C187" i="1"/>
  <c r="E153" i="1" l="1"/>
  <c r="D153" i="1" l="1"/>
  <c r="F9" i="1"/>
  <c r="G9" i="1" s="1"/>
  <c r="F5" i="1"/>
  <c r="F7" i="1" s="1"/>
  <c r="F6" i="1" s="1"/>
  <c r="E43" i="1"/>
  <c r="C43" i="1"/>
  <c r="E11" i="1"/>
  <c r="E37" i="1" s="1"/>
  <c r="D11" i="1"/>
  <c r="D37" i="1" s="1"/>
  <c r="C11" i="1"/>
  <c r="C37" i="1" s="1"/>
  <c r="D5" i="1"/>
  <c r="C7" i="1"/>
  <c r="C36" i="1" s="1"/>
  <c r="E7" i="1"/>
  <c r="E36" i="1" s="1"/>
  <c r="E35" i="1"/>
  <c r="D35" i="1"/>
  <c r="E13" i="1"/>
  <c r="E38" i="1" s="1"/>
  <c r="C44" i="1"/>
  <c r="N316" i="1" l="1"/>
  <c r="J13" i="6"/>
  <c r="E44" i="1"/>
  <c r="D34" i="1"/>
  <c r="D7" i="1"/>
  <c r="D36" i="1" s="1"/>
  <c r="C194" i="1"/>
  <c r="E158" i="1"/>
  <c r="E194" i="1"/>
  <c r="C158" i="1"/>
  <c r="C45" i="1"/>
  <c r="C156" i="1"/>
  <c r="C159" i="1"/>
  <c r="C154" i="1"/>
  <c r="E156" i="1"/>
  <c r="E159" i="1"/>
  <c r="E154" i="1"/>
  <c r="C39" i="1"/>
  <c r="E14" i="1"/>
  <c r="G5" i="1"/>
  <c r="G13" i="1" s="1"/>
  <c r="D14" i="1"/>
  <c r="F11" i="1"/>
  <c r="F10" i="1" s="1"/>
  <c r="F14" i="1" s="1"/>
  <c r="D43" i="1"/>
  <c r="H9" i="1"/>
  <c r="G11" i="1"/>
  <c r="G10" i="1" s="1"/>
  <c r="D13" i="1"/>
  <c r="C14" i="1"/>
  <c r="C155" i="1" s="1"/>
  <c r="E39" i="1"/>
  <c r="E34" i="1"/>
  <c r="E45" i="1"/>
  <c r="F13" i="1"/>
  <c r="K324" i="1"/>
  <c r="L324" i="1"/>
  <c r="M324" i="1"/>
  <c r="N324" i="1"/>
  <c r="O324" i="1"/>
  <c r="K268" i="1"/>
  <c r="L268" i="1"/>
  <c r="M268" i="1"/>
  <c r="N268" i="1"/>
  <c r="O268" i="1"/>
  <c r="K13" i="6" l="1"/>
  <c r="D38" i="1"/>
  <c r="G16" i="1"/>
  <c r="F16" i="1"/>
  <c r="F23" i="6"/>
  <c r="L13" i="6"/>
  <c r="G23" i="6" s="1"/>
  <c r="D44" i="1"/>
  <c r="F40" i="1"/>
  <c r="F41" i="1" s="1"/>
  <c r="G26" i="1"/>
  <c r="G40" i="1"/>
  <c r="G41" i="1" s="1"/>
  <c r="F19" i="1"/>
  <c r="F26" i="1"/>
  <c r="F146" i="1"/>
  <c r="F110" i="1" s="1"/>
  <c r="F191" i="1"/>
  <c r="F148" i="1"/>
  <c r="F150" i="1"/>
  <c r="F113" i="1" s="1"/>
  <c r="D158" i="1"/>
  <c r="D194" i="1"/>
  <c r="G150" i="1"/>
  <c r="G191" i="1"/>
  <c r="G7" i="1"/>
  <c r="G6" i="1" s="1"/>
  <c r="G14" i="1" s="1"/>
  <c r="D159" i="1"/>
  <c r="D154" i="1"/>
  <c r="D156" i="1"/>
  <c r="C15" i="1"/>
  <c r="C20" i="1" s="1"/>
  <c r="C157" i="1"/>
  <c r="D155" i="1"/>
  <c r="D157" i="1"/>
  <c r="G30" i="1"/>
  <c r="G151" i="1"/>
  <c r="G93" i="1" s="1"/>
  <c r="G148" i="1"/>
  <c r="G146" i="1"/>
  <c r="E15" i="1"/>
  <c r="E20" i="1" s="1"/>
  <c r="E157" i="1"/>
  <c r="E155" i="1"/>
  <c r="G19" i="1"/>
  <c r="H5" i="1"/>
  <c r="H13" i="1" s="1"/>
  <c r="F147" i="1"/>
  <c r="F111" i="1" s="1"/>
  <c r="F149" i="1"/>
  <c r="F112" i="1" s="1"/>
  <c r="F151" i="1"/>
  <c r="F93" i="1" s="1"/>
  <c r="D15" i="1"/>
  <c r="D20" i="1" s="1"/>
  <c r="D45" i="1"/>
  <c r="D39" i="1"/>
  <c r="F30" i="1"/>
  <c r="F15" i="1"/>
  <c r="I9" i="1"/>
  <c r="H11" i="1"/>
  <c r="H10" i="1" s="1"/>
  <c r="F259" i="1" l="1"/>
  <c r="F106" i="1"/>
  <c r="G259" i="1"/>
  <c r="G106" i="1"/>
  <c r="C252" i="1"/>
  <c r="C251" i="1"/>
  <c r="D250" i="1"/>
  <c r="D251" i="1"/>
  <c r="D252" i="1"/>
  <c r="E250" i="1"/>
  <c r="E251" i="1"/>
  <c r="E252" i="1"/>
  <c r="H16" i="1"/>
  <c r="G120" i="1"/>
  <c r="F193" i="1"/>
  <c r="F86" i="1" s="1"/>
  <c r="H148" i="1"/>
  <c r="F42" i="1"/>
  <c r="F18" i="1" s="1"/>
  <c r="F20" i="1" s="1"/>
  <c r="G113" i="1"/>
  <c r="G110" i="1"/>
  <c r="F163" i="1"/>
  <c r="F169" i="1" s="1"/>
  <c r="F121" i="1"/>
  <c r="G42" i="1"/>
  <c r="G18" i="1" s="1"/>
  <c r="F114" i="1"/>
  <c r="H26" i="1"/>
  <c r="H40" i="1"/>
  <c r="G92" i="1"/>
  <c r="F152" i="1"/>
  <c r="F153" i="1" s="1"/>
  <c r="F79" i="1"/>
  <c r="F81" i="1"/>
  <c r="G114" i="1"/>
  <c r="G81" i="1"/>
  <c r="F190" i="1"/>
  <c r="F189" i="1" s="1"/>
  <c r="F120" i="1"/>
  <c r="G79" i="1"/>
  <c r="F91" i="1"/>
  <c r="F92" i="1"/>
  <c r="F80" i="1"/>
  <c r="H150" i="1"/>
  <c r="H113" i="1" s="1"/>
  <c r="H191" i="1"/>
  <c r="H151" i="1"/>
  <c r="H93" i="1" s="1"/>
  <c r="H146" i="1"/>
  <c r="H110" i="1" s="1"/>
  <c r="H7" i="1"/>
  <c r="H6" i="1" s="1"/>
  <c r="H14" i="1" s="1"/>
  <c r="I5" i="1"/>
  <c r="I7" i="1" s="1"/>
  <c r="I6" i="1" s="1"/>
  <c r="G15" i="1"/>
  <c r="G147" i="1"/>
  <c r="G111" i="1" s="1"/>
  <c r="G149" i="1"/>
  <c r="G112" i="1" s="1"/>
  <c r="H19" i="1"/>
  <c r="H30" i="1"/>
  <c r="I11" i="1"/>
  <c r="I10" i="1" s="1"/>
  <c r="J9" i="1"/>
  <c r="F275" i="1" l="1"/>
  <c r="G20" i="1"/>
  <c r="H259" i="1"/>
  <c r="H106" i="1"/>
  <c r="F23" i="1"/>
  <c r="C23" i="1"/>
  <c r="C27" i="1" s="1"/>
  <c r="C250" i="1"/>
  <c r="C333" i="1" s="1"/>
  <c r="D23" i="1"/>
  <c r="D27" i="1" s="1"/>
  <c r="N13" i="6"/>
  <c r="E23" i="1"/>
  <c r="M13" i="6"/>
  <c r="F123" i="1"/>
  <c r="O298" i="1"/>
  <c r="O300" i="1" s="1"/>
  <c r="O316" i="1"/>
  <c r="O317" i="1" s="1"/>
  <c r="F276" i="1"/>
  <c r="H120" i="1"/>
  <c r="G164" i="1"/>
  <c r="H114" i="1"/>
  <c r="F166" i="1"/>
  <c r="F84" i="1" s="1"/>
  <c r="F325" i="1"/>
  <c r="D325" i="1"/>
  <c r="G163" i="1"/>
  <c r="G121" i="1"/>
  <c r="G123" i="1" s="1"/>
  <c r="E325" i="1"/>
  <c r="C325" i="1"/>
  <c r="H41" i="1"/>
  <c r="F94" i="1"/>
  <c r="H81" i="1"/>
  <c r="G152" i="1"/>
  <c r="G153" i="1" s="1"/>
  <c r="D333" i="1"/>
  <c r="H79" i="1"/>
  <c r="H92" i="1"/>
  <c r="G91" i="1"/>
  <c r="G94" i="1" s="1"/>
  <c r="G80" i="1"/>
  <c r="J5" i="1"/>
  <c r="J7" i="1" s="1"/>
  <c r="J6" i="1" s="1"/>
  <c r="I13" i="1"/>
  <c r="H15" i="1"/>
  <c r="H147" i="1"/>
  <c r="H111" i="1" s="1"/>
  <c r="H149" i="1"/>
  <c r="H112" i="1" s="1"/>
  <c r="I14" i="1"/>
  <c r="K9" i="1"/>
  <c r="J11" i="1"/>
  <c r="J10" i="1" s="1"/>
  <c r="Q13" i="6" l="1"/>
  <c r="E27" i="1"/>
  <c r="I16" i="1"/>
  <c r="P13" i="6"/>
  <c r="R13" i="6"/>
  <c r="H23" i="6"/>
  <c r="O13" i="6"/>
  <c r="I23" i="6" s="1"/>
  <c r="G276" i="1"/>
  <c r="F269" i="1"/>
  <c r="F271" i="1" s="1"/>
  <c r="C29" i="1"/>
  <c r="C31" i="1" s="1"/>
  <c r="D29" i="1"/>
  <c r="D31" i="1" s="1"/>
  <c r="D260" i="1" s="1"/>
  <c r="D266" i="1" s="1"/>
  <c r="E29" i="1"/>
  <c r="E31" i="1" s="1"/>
  <c r="G169" i="1"/>
  <c r="H164" i="1" s="1"/>
  <c r="G162" i="1"/>
  <c r="G166" i="1" s="1"/>
  <c r="H162" i="1" s="1"/>
  <c r="G325" i="1"/>
  <c r="H163" i="1"/>
  <c r="H121" i="1"/>
  <c r="H123" i="1" s="1"/>
  <c r="I26" i="1"/>
  <c r="I40" i="1"/>
  <c r="H42" i="1"/>
  <c r="H18" i="1" s="1"/>
  <c r="H20" i="1" s="1"/>
  <c r="H152" i="1"/>
  <c r="H153" i="1" s="1"/>
  <c r="H80" i="1"/>
  <c r="H91" i="1"/>
  <c r="H94" i="1" s="1"/>
  <c r="I150" i="1"/>
  <c r="I113" i="1" s="1"/>
  <c r="I191" i="1"/>
  <c r="J13" i="1"/>
  <c r="K5" i="1"/>
  <c r="K7" i="1" s="1"/>
  <c r="K6" i="1" s="1"/>
  <c r="I146" i="1"/>
  <c r="I110" i="1" s="1"/>
  <c r="I148" i="1"/>
  <c r="I19" i="1"/>
  <c r="I151" i="1"/>
  <c r="I93" i="1" s="1"/>
  <c r="I30" i="1"/>
  <c r="I15" i="1"/>
  <c r="I149" i="1"/>
  <c r="I112" i="1" s="1"/>
  <c r="I147" i="1"/>
  <c r="I111" i="1" s="1"/>
  <c r="J14" i="1"/>
  <c r="L9" i="1"/>
  <c r="K11" i="1"/>
  <c r="K10" i="1" s="1"/>
  <c r="H324" i="1"/>
  <c r="I324" i="1"/>
  <c r="J324" i="1"/>
  <c r="I268" i="1"/>
  <c r="J268" i="1"/>
  <c r="I259" i="1" l="1"/>
  <c r="I106" i="1"/>
  <c r="J16" i="1"/>
  <c r="C260" i="1"/>
  <c r="C262" i="1" s="1"/>
  <c r="C99" i="1" s="1"/>
  <c r="C331" i="1"/>
  <c r="E328" i="1"/>
  <c r="S13" i="6"/>
  <c r="D328" i="1"/>
  <c r="D104" i="1"/>
  <c r="D116" i="1" s="1"/>
  <c r="C46" i="1"/>
  <c r="C104" i="1"/>
  <c r="C116" i="1" s="1"/>
  <c r="C127" i="1" s="1"/>
  <c r="E331" i="1"/>
  <c r="E260" i="1"/>
  <c r="E266" i="1" s="1"/>
  <c r="F272" i="1"/>
  <c r="F273" i="1" s="1"/>
  <c r="F277" i="1" s="1"/>
  <c r="H276" i="1"/>
  <c r="C328" i="1"/>
  <c r="E46" i="1"/>
  <c r="D331" i="1"/>
  <c r="D46" i="1"/>
  <c r="E104" i="1"/>
  <c r="E116" i="1" s="1"/>
  <c r="E127" i="1" s="1"/>
  <c r="E129" i="1" s="1"/>
  <c r="H169" i="1"/>
  <c r="I164" i="1" s="1"/>
  <c r="I120" i="1"/>
  <c r="G84" i="1"/>
  <c r="H325" i="1"/>
  <c r="H166" i="1"/>
  <c r="I162" i="1" s="1"/>
  <c r="I41" i="1"/>
  <c r="I42" i="1" s="1"/>
  <c r="I18" i="1" s="1"/>
  <c r="I20" i="1" s="1"/>
  <c r="J26" i="1"/>
  <c r="J40" i="1"/>
  <c r="I114" i="1"/>
  <c r="I81" i="1"/>
  <c r="I152" i="1"/>
  <c r="I153" i="1" s="1"/>
  <c r="I79" i="1"/>
  <c r="I80" i="1"/>
  <c r="I91" i="1"/>
  <c r="I92" i="1"/>
  <c r="J150" i="1"/>
  <c r="J113" i="1" s="1"/>
  <c r="J191" i="1"/>
  <c r="J148" i="1"/>
  <c r="J146" i="1"/>
  <c r="J110" i="1" s="1"/>
  <c r="L5" i="1"/>
  <c r="L13" i="1" s="1"/>
  <c r="K13" i="1"/>
  <c r="J151" i="1"/>
  <c r="J93" i="1" s="1"/>
  <c r="J30" i="1"/>
  <c r="J19" i="1"/>
  <c r="J15" i="1"/>
  <c r="J149" i="1"/>
  <c r="J112" i="1" s="1"/>
  <c r="J147" i="1"/>
  <c r="J111" i="1" s="1"/>
  <c r="K14" i="1"/>
  <c r="M9" i="1"/>
  <c r="L11" i="1"/>
  <c r="L10" i="1" s="1"/>
  <c r="J259" i="1" l="1"/>
  <c r="J106" i="1"/>
  <c r="D257" i="1"/>
  <c r="D262" i="1" s="1"/>
  <c r="E257" i="1" s="1"/>
  <c r="E262" i="1" s="1"/>
  <c r="C266" i="1"/>
  <c r="K16" i="1"/>
  <c r="L16" i="1"/>
  <c r="E141" i="1"/>
  <c r="AC13" i="6"/>
  <c r="AD13" i="6" s="1"/>
  <c r="T13" i="6"/>
  <c r="AH13" i="6"/>
  <c r="C141" i="1"/>
  <c r="I276" i="1"/>
  <c r="J120" i="1"/>
  <c r="C129" i="1"/>
  <c r="C130" i="1" s="1"/>
  <c r="C263" i="1" s="1"/>
  <c r="C327" i="1"/>
  <c r="H84" i="1"/>
  <c r="I325" i="1"/>
  <c r="I163" i="1"/>
  <c r="I121" i="1"/>
  <c r="I123" i="1" s="1"/>
  <c r="K26" i="1"/>
  <c r="K40" i="1"/>
  <c r="L26" i="1"/>
  <c r="L40" i="1"/>
  <c r="J41" i="1"/>
  <c r="J114" i="1"/>
  <c r="D127" i="1"/>
  <c r="D129" i="1" s="1"/>
  <c r="D141" i="1"/>
  <c r="C230" i="1"/>
  <c r="D228" i="1" s="1"/>
  <c r="J81" i="1"/>
  <c r="J152" i="1"/>
  <c r="J153" i="1" s="1"/>
  <c r="I94" i="1"/>
  <c r="J92" i="1"/>
  <c r="J80" i="1"/>
  <c r="J79" i="1"/>
  <c r="J91" i="1"/>
  <c r="D99" i="1"/>
  <c r="L150" i="1"/>
  <c r="L191" i="1"/>
  <c r="K150" i="1"/>
  <c r="K113" i="1" s="1"/>
  <c r="K191" i="1"/>
  <c r="K151" i="1"/>
  <c r="K93" i="1" s="1"/>
  <c r="L7" i="1"/>
  <c r="L6" i="1" s="1"/>
  <c r="L14" i="1" s="1"/>
  <c r="K148" i="1"/>
  <c r="M5" i="1"/>
  <c r="M13" i="1" s="1"/>
  <c r="K30" i="1"/>
  <c r="K19" i="1"/>
  <c r="K146" i="1"/>
  <c r="K110" i="1" s="1"/>
  <c r="L148" i="1"/>
  <c r="L151" i="1"/>
  <c r="L93" i="1" s="1"/>
  <c r="L146" i="1"/>
  <c r="K15" i="1"/>
  <c r="K149" i="1"/>
  <c r="K112" i="1" s="1"/>
  <c r="K147" i="1"/>
  <c r="K111" i="1" s="1"/>
  <c r="L30" i="1"/>
  <c r="L19" i="1"/>
  <c r="N9" i="1"/>
  <c r="M11" i="1"/>
  <c r="M10" i="1" s="1"/>
  <c r="G324" i="1"/>
  <c r="F324" i="1"/>
  <c r="E324" i="1"/>
  <c r="D324" i="1"/>
  <c r="C324" i="1"/>
  <c r="H268" i="1"/>
  <c r="G268" i="1"/>
  <c r="F268" i="1"/>
  <c r="L259" i="1" l="1"/>
  <c r="L106" i="1"/>
  <c r="K259" i="1"/>
  <c r="K106" i="1"/>
  <c r="M16" i="1"/>
  <c r="O23" i="6"/>
  <c r="Q23" i="6"/>
  <c r="J276" i="1"/>
  <c r="I169" i="1"/>
  <c r="J164" i="1" s="1"/>
  <c r="L120" i="1"/>
  <c r="K120" i="1"/>
  <c r="C77" i="1"/>
  <c r="C82" i="1" s="1"/>
  <c r="C140" i="1"/>
  <c r="D128" i="1"/>
  <c r="K114" i="1"/>
  <c r="D327" i="1"/>
  <c r="I166" i="1"/>
  <c r="J162" i="1" s="1"/>
  <c r="J163" i="1"/>
  <c r="J121" i="1"/>
  <c r="J123" i="1" s="1"/>
  <c r="M26" i="1"/>
  <c r="M40" i="1"/>
  <c r="J42" i="1"/>
  <c r="J18" i="1" s="1"/>
  <c r="J20" i="1" s="1"/>
  <c r="L110" i="1"/>
  <c r="L41" i="1"/>
  <c r="L42" i="1" s="1"/>
  <c r="L18" i="1" s="1"/>
  <c r="K41" i="1"/>
  <c r="L113" i="1"/>
  <c r="L114" i="1"/>
  <c r="L92" i="1"/>
  <c r="C248" i="1"/>
  <c r="C254" i="1" s="1"/>
  <c r="L81" i="1"/>
  <c r="K81" i="1"/>
  <c r="L79" i="1"/>
  <c r="K152" i="1"/>
  <c r="K153" i="1" s="1"/>
  <c r="J94" i="1"/>
  <c r="K80" i="1"/>
  <c r="K91" i="1"/>
  <c r="K79" i="1"/>
  <c r="K92" i="1"/>
  <c r="F257" i="1"/>
  <c r="E99" i="1"/>
  <c r="W13" i="6" s="1"/>
  <c r="M7" i="1"/>
  <c r="M6" i="1" s="1"/>
  <c r="M14" i="1" s="1"/>
  <c r="M15" i="1" s="1"/>
  <c r="N5" i="1"/>
  <c r="N7" i="1" s="1"/>
  <c r="N6" i="1" s="1"/>
  <c r="M150" i="1"/>
  <c r="M113" i="1" s="1"/>
  <c r="M191" i="1"/>
  <c r="M148" i="1"/>
  <c r="M151" i="1"/>
  <c r="M93" i="1" s="1"/>
  <c r="M146" i="1"/>
  <c r="M110" i="1" s="1"/>
  <c r="L15" i="1"/>
  <c r="L147" i="1"/>
  <c r="L111" i="1" s="1"/>
  <c r="L149" i="1"/>
  <c r="L112" i="1" s="1"/>
  <c r="M30" i="1"/>
  <c r="M19" i="1"/>
  <c r="O9" i="1"/>
  <c r="N11" i="1"/>
  <c r="N10" i="1" s="1"/>
  <c r="L20" i="1" l="1"/>
  <c r="M259" i="1"/>
  <c r="M106" i="1"/>
  <c r="C97" i="1"/>
  <c r="C253" i="1"/>
  <c r="C334" i="1" s="1"/>
  <c r="AE13" i="6"/>
  <c r="X13" i="6"/>
  <c r="S23" i="6" s="1"/>
  <c r="K276" i="1"/>
  <c r="M120" i="1"/>
  <c r="D130" i="1"/>
  <c r="D140" i="1" s="1"/>
  <c r="D223" i="1"/>
  <c r="D224" i="1" s="1"/>
  <c r="E222" i="1" s="1"/>
  <c r="J169" i="1"/>
  <c r="K164" i="1" s="1"/>
  <c r="D139" i="1"/>
  <c r="J166" i="1"/>
  <c r="K162" i="1" s="1"/>
  <c r="E327" i="1"/>
  <c r="C326" i="1"/>
  <c r="I84" i="1"/>
  <c r="K163" i="1"/>
  <c r="K121" i="1"/>
  <c r="K123" i="1" s="1"/>
  <c r="J325" i="1"/>
  <c r="K42" i="1"/>
  <c r="K18" i="1" s="1"/>
  <c r="K20" i="1" s="1"/>
  <c r="L163" i="1"/>
  <c r="L121" i="1"/>
  <c r="L123" i="1" s="1"/>
  <c r="M41" i="1"/>
  <c r="M114" i="1"/>
  <c r="M81" i="1"/>
  <c r="L152" i="1"/>
  <c r="L153" i="1" s="1"/>
  <c r="K94" i="1"/>
  <c r="M79" i="1"/>
  <c r="L91" i="1"/>
  <c r="L94" i="1" s="1"/>
  <c r="M92" i="1"/>
  <c r="L80" i="1"/>
  <c r="O5" i="1"/>
  <c r="O7" i="1" s="1"/>
  <c r="O6" i="1" s="1"/>
  <c r="N13" i="1"/>
  <c r="M147" i="1"/>
  <c r="M111" i="1" s="1"/>
  <c r="M149" i="1"/>
  <c r="M112" i="1" s="1"/>
  <c r="N14" i="1"/>
  <c r="O11" i="1"/>
  <c r="O10" i="1" s="1"/>
  <c r="N16" i="1" l="1"/>
  <c r="N23" i="6"/>
  <c r="P23" i="6"/>
  <c r="D263" i="1"/>
  <c r="D77" i="1"/>
  <c r="D82" i="1" s="1"/>
  <c r="L276" i="1"/>
  <c r="E128" i="1"/>
  <c r="E139" i="1" s="1"/>
  <c r="D229" i="1"/>
  <c r="K169" i="1"/>
  <c r="L164" i="1" s="1"/>
  <c r="E226" i="1"/>
  <c r="J84" i="1"/>
  <c r="K166" i="1"/>
  <c r="K84" i="1" s="1"/>
  <c r="K325" i="1"/>
  <c r="L325" i="1"/>
  <c r="N40" i="1"/>
  <c r="N41" i="1" s="1"/>
  <c r="M163" i="1"/>
  <c r="M121" i="1"/>
  <c r="M123" i="1" s="1"/>
  <c r="M42" i="1"/>
  <c r="M18" i="1" s="1"/>
  <c r="M20" i="1" s="1"/>
  <c r="N26" i="1"/>
  <c r="N150" i="1"/>
  <c r="N113" i="1" s="1"/>
  <c r="M152" i="1"/>
  <c r="M153" i="1" s="1"/>
  <c r="M91" i="1"/>
  <c r="M94" i="1" s="1"/>
  <c r="M80" i="1"/>
  <c r="N151" i="1"/>
  <c r="N93" i="1" s="1"/>
  <c r="N148" i="1"/>
  <c r="N146" i="1"/>
  <c r="N110" i="1" s="1"/>
  <c r="O13" i="1"/>
  <c r="N19" i="1"/>
  <c r="N191" i="1"/>
  <c r="N30" i="1"/>
  <c r="N15" i="1"/>
  <c r="N147" i="1"/>
  <c r="N111" i="1" s="1"/>
  <c r="N149" i="1"/>
  <c r="N112" i="1" s="1"/>
  <c r="O14" i="1"/>
  <c r="N259" i="1" l="1"/>
  <c r="N106" i="1"/>
  <c r="O16" i="1"/>
  <c r="E223" i="1"/>
  <c r="E224" i="1" s="1"/>
  <c r="F222" i="1" s="1"/>
  <c r="F226" i="1" s="1"/>
  <c r="F247" i="1" s="1"/>
  <c r="L169" i="1"/>
  <c r="M164" i="1" s="1"/>
  <c r="E130" i="1"/>
  <c r="E140" i="1" s="1"/>
  <c r="M276" i="1"/>
  <c r="N120" i="1"/>
  <c r="E333" i="1"/>
  <c r="L162" i="1"/>
  <c r="L166" i="1" s="1"/>
  <c r="M162" i="1" s="1"/>
  <c r="N163" i="1"/>
  <c r="N121" i="1"/>
  <c r="O40" i="1"/>
  <c r="O41" i="1" s="1"/>
  <c r="O42" i="1" s="1"/>
  <c r="O18" i="1" s="1"/>
  <c r="M325" i="1"/>
  <c r="N42" i="1"/>
  <c r="N18" i="1" s="1"/>
  <c r="N20" i="1" s="1"/>
  <c r="N92" i="1"/>
  <c r="O26" i="1"/>
  <c r="N114" i="1"/>
  <c r="N81" i="1"/>
  <c r="O151" i="1"/>
  <c r="O93" i="1" s="1"/>
  <c r="N152" i="1"/>
  <c r="N153" i="1" s="1"/>
  <c r="N79" i="1"/>
  <c r="N91" i="1"/>
  <c r="N80" i="1"/>
  <c r="O19" i="1"/>
  <c r="O191" i="1"/>
  <c r="O30" i="1"/>
  <c r="O148" i="1"/>
  <c r="O150" i="1"/>
  <c r="O113" i="1" s="1"/>
  <c r="O146" i="1"/>
  <c r="O110" i="1" s="1"/>
  <c r="O15" i="1"/>
  <c r="O147" i="1"/>
  <c r="O111" i="1" s="1"/>
  <c r="O149" i="1"/>
  <c r="O112" i="1" s="1"/>
  <c r="O259" i="1" l="1"/>
  <c r="O106" i="1"/>
  <c r="O20" i="1"/>
  <c r="F25" i="1"/>
  <c r="F27" i="1" s="1"/>
  <c r="F250" i="1"/>
  <c r="F333" i="1" s="1"/>
  <c r="F251" i="1"/>
  <c r="F252" i="1"/>
  <c r="F128" i="1"/>
  <c r="F139" i="1" s="1"/>
  <c r="M166" i="1"/>
  <c r="N162" i="1" s="1"/>
  <c r="M169" i="1"/>
  <c r="N164" i="1" s="1"/>
  <c r="E263" i="1"/>
  <c r="I13" i="6"/>
  <c r="E77" i="1"/>
  <c r="N123" i="1"/>
  <c r="N276" i="1"/>
  <c r="O120" i="1"/>
  <c r="L84" i="1"/>
  <c r="N325" i="1"/>
  <c r="O163" i="1"/>
  <c r="O121" i="1"/>
  <c r="N94" i="1"/>
  <c r="O114" i="1"/>
  <c r="O81" i="1"/>
  <c r="O152" i="1"/>
  <c r="O153" i="1" s="1"/>
  <c r="O80" i="1"/>
  <c r="O79" i="1"/>
  <c r="O91" i="1"/>
  <c r="O92" i="1"/>
  <c r="F223" i="1" l="1"/>
  <c r="F224" i="1" s="1"/>
  <c r="G222" i="1" s="1"/>
  <c r="G226" i="1" s="1"/>
  <c r="G247" i="1" s="1"/>
  <c r="G25" i="1" s="1"/>
  <c r="M84" i="1"/>
  <c r="N166" i="1"/>
  <c r="O162" i="1" s="1"/>
  <c r="N169" i="1"/>
  <c r="O164" i="1" s="1"/>
  <c r="E82" i="1"/>
  <c r="V13" i="6"/>
  <c r="O289" i="1"/>
  <c r="O290" i="1" s="1"/>
  <c r="O123" i="1"/>
  <c r="O276" i="1"/>
  <c r="F28" i="1"/>
  <c r="F29" i="1" s="1"/>
  <c r="F31" i="1" s="1"/>
  <c r="F331" i="1" s="1"/>
  <c r="O325" i="1"/>
  <c r="O94" i="1"/>
  <c r="G252" i="1" l="1"/>
  <c r="G250" i="1"/>
  <c r="G333" i="1" s="1"/>
  <c r="G251" i="1"/>
  <c r="O169" i="1"/>
  <c r="N84" i="1"/>
  <c r="O166" i="1"/>
  <c r="O84" i="1" s="1"/>
  <c r="F328" i="1"/>
  <c r="F260" i="1"/>
  <c r="F104" i="1"/>
  <c r="G188" i="1"/>
  <c r="F261" i="1" l="1"/>
  <c r="G192" i="1"/>
  <c r="G21" i="1" s="1"/>
  <c r="G23" i="1" s="1"/>
  <c r="G274" i="1" l="1"/>
  <c r="G190" i="1"/>
  <c r="G189" i="1" s="1"/>
  <c r="G275" i="1" s="1"/>
  <c r="G193" i="1"/>
  <c r="G105" i="1" l="1"/>
  <c r="H188" i="1"/>
  <c r="H192" i="1" s="1"/>
  <c r="H21" i="1" s="1"/>
  <c r="H23" i="1" s="1"/>
  <c r="G86" i="1"/>
  <c r="H274" i="1" l="1"/>
  <c r="G269" i="1"/>
  <c r="G271" i="1" s="1"/>
  <c r="G272" i="1" s="1"/>
  <c r="G273" i="1" s="1"/>
  <c r="G277" i="1" s="1"/>
  <c r="H190" i="1"/>
  <c r="H189" i="1" s="1"/>
  <c r="H275" i="1" s="1"/>
  <c r="H193" i="1"/>
  <c r="H105" i="1" l="1"/>
  <c r="I188" i="1"/>
  <c r="I192" i="1" s="1"/>
  <c r="I21" i="1" s="1"/>
  <c r="I23" i="1" s="1"/>
  <c r="H86" i="1"/>
  <c r="I274" i="1" l="1"/>
  <c r="H269" i="1"/>
  <c r="H271" i="1" s="1"/>
  <c r="H272" i="1" s="1"/>
  <c r="H273" i="1" s="1"/>
  <c r="H277" i="1" s="1"/>
  <c r="I190" i="1"/>
  <c r="I189" i="1" s="1"/>
  <c r="I275" i="1" s="1"/>
  <c r="I193" i="1"/>
  <c r="I86" i="1" s="1"/>
  <c r="J188" i="1" l="1"/>
  <c r="J192" i="1" s="1"/>
  <c r="I105" i="1"/>
  <c r="I269" i="1" l="1"/>
  <c r="I271" i="1" s="1"/>
  <c r="I272" i="1" s="1"/>
  <c r="I273" i="1" s="1"/>
  <c r="I277" i="1" s="1"/>
  <c r="J193" i="1"/>
  <c r="K188" i="1" s="1"/>
  <c r="K192" i="1" s="1"/>
  <c r="K21" i="1" s="1"/>
  <c r="K23" i="1" s="1"/>
  <c r="J190" i="1"/>
  <c r="J189" i="1" s="1"/>
  <c r="J275" i="1" s="1"/>
  <c r="J21" i="1"/>
  <c r="J274" i="1" l="1"/>
  <c r="J23" i="1"/>
  <c r="K274" i="1"/>
  <c r="J105" i="1"/>
  <c r="J86" i="1"/>
  <c r="K190" i="1"/>
  <c r="K189" i="1" s="1"/>
  <c r="K275" i="1" s="1"/>
  <c r="K193" i="1"/>
  <c r="L188" i="1" s="1"/>
  <c r="J269" i="1" l="1"/>
  <c r="J271" i="1" s="1"/>
  <c r="J272" i="1" s="1"/>
  <c r="J273" i="1" s="1"/>
  <c r="J277" i="1" s="1"/>
  <c r="K86" i="1"/>
  <c r="L192" i="1"/>
  <c r="K105" i="1"/>
  <c r="K269" i="1" l="1"/>
  <c r="K271" i="1" s="1"/>
  <c r="K272" i="1" s="1"/>
  <c r="K273" i="1" s="1"/>
  <c r="K277" i="1" s="1"/>
  <c r="L193" i="1"/>
  <c r="L86" i="1" s="1"/>
  <c r="L21" i="1"/>
  <c r="L23" i="1" s="1"/>
  <c r="L190" i="1"/>
  <c r="L189" i="1" s="1"/>
  <c r="L275" i="1" s="1"/>
  <c r="L274" i="1" l="1"/>
  <c r="M188" i="1"/>
  <c r="M192" i="1" s="1"/>
  <c r="M21" i="1" s="1"/>
  <c r="L105" i="1"/>
  <c r="M274" i="1" l="1"/>
  <c r="M23" i="1"/>
  <c r="L269" i="1"/>
  <c r="L271" i="1" s="1"/>
  <c r="L272" i="1" s="1"/>
  <c r="L273" i="1" s="1"/>
  <c r="L277" i="1" s="1"/>
  <c r="M105" i="1"/>
  <c r="M190" i="1"/>
  <c r="M189" i="1" s="1"/>
  <c r="M275" i="1" s="1"/>
  <c r="M193" i="1"/>
  <c r="N188" i="1" s="1"/>
  <c r="N192" i="1" s="1"/>
  <c r="N21" i="1" s="1"/>
  <c r="N274" i="1" l="1"/>
  <c r="N23" i="1"/>
  <c r="M269" i="1"/>
  <c r="M271" i="1" s="1"/>
  <c r="M272" i="1" s="1"/>
  <c r="M273" i="1" s="1"/>
  <c r="M277" i="1" s="1"/>
  <c r="N190" i="1"/>
  <c r="N189" i="1" s="1"/>
  <c r="N275" i="1" s="1"/>
  <c r="N105" i="1"/>
  <c r="M86" i="1"/>
  <c r="N193" i="1"/>
  <c r="O188" i="1" s="1"/>
  <c r="O192" i="1" s="1"/>
  <c r="O21" i="1" s="1"/>
  <c r="O23" i="1" s="1"/>
  <c r="C204" i="1"/>
  <c r="C87" i="1" s="1"/>
  <c r="O274" i="1" l="1"/>
  <c r="N269" i="1"/>
  <c r="N271" i="1" s="1"/>
  <c r="N272" i="1" s="1"/>
  <c r="N273" i="1" s="1"/>
  <c r="N277" i="1" s="1"/>
  <c r="O193" i="1"/>
  <c r="O86" i="1" s="1"/>
  <c r="O190" i="1"/>
  <c r="O189" i="1" s="1"/>
  <c r="O275" i="1" s="1"/>
  <c r="N86" i="1"/>
  <c r="O105" i="1"/>
  <c r="D198" i="1"/>
  <c r="D204" i="1" s="1"/>
  <c r="O269" i="1" l="1"/>
  <c r="O271" i="1" s="1"/>
  <c r="O272" i="1" s="1"/>
  <c r="O273" i="1" s="1"/>
  <c r="O277" i="1" s="1"/>
  <c r="O293" i="1" s="1"/>
  <c r="D87" i="1"/>
  <c r="E198" i="1"/>
  <c r="E204" i="1" s="1"/>
  <c r="E87" i="1" l="1"/>
  <c r="F198" i="1"/>
  <c r="F204" i="1" s="1"/>
  <c r="G198" i="1" l="1"/>
  <c r="G204" i="1" s="1"/>
  <c r="F87" i="1"/>
  <c r="H198" i="1" l="1"/>
  <c r="H204" i="1" s="1"/>
  <c r="G87" i="1"/>
  <c r="I198" i="1" l="1"/>
  <c r="I204" i="1" s="1"/>
  <c r="H87" i="1"/>
  <c r="I87" i="1" l="1"/>
  <c r="J198" i="1"/>
  <c r="J204" i="1" s="1"/>
  <c r="K198" i="1" l="1"/>
  <c r="K204" i="1" s="1"/>
  <c r="J87" i="1"/>
  <c r="K87" i="1" l="1"/>
  <c r="L198" i="1"/>
  <c r="L204" i="1" s="1"/>
  <c r="M198" i="1" l="1"/>
  <c r="M204" i="1" s="1"/>
  <c r="L87" i="1"/>
  <c r="N198" i="1" l="1"/>
  <c r="N204" i="1" s="1"/>
  <c r="M87" i="1"/>
  <c r="O198" i="1" l="1"/>
  <c r="O204" i="1" s="1"/>
  <c r="O87" i="1" s="1"/>
  <c r="N87" i="1"/>
  <c r="D214" i="1" l="1"/>
  <c r="D218" i="1" s="1"/>
  <c r="D219" i="1" s="1"/>
  <c r="C96" i="1"/>
  <c r="C98" i="1" s="1"/>
  <c r="C100" i="1" s="1"/>
  <c r="E214" i="1" l="1"/>
  <c r="E218" i="1" s="1"/>
  <c r="E219" i="1" s="1"/>
  <c r="D96" i="1"/>
  <c r="F214" i="1" l="1"/>
  <c r="F218" i="1" s="1"/>
  <c r="F219" i="1" s="1"/>
  <c r="E96" i="1"/>
  <c r="G214" i="1" l="1"/>
  <c r="G218" i="1" s="1"/>
  <c r="G219" i="1" s="1"/>
  <c r="F96" i="1"/>
  <c r="H214" i="1" l="1"/>
  <c r="H218" i="1" s="1"/>
  <c r="H219" i="1" s="1"/>
  <c r="G96" i="1"/>
  <c r="I214" i="1" l="1"/>
  <c r="I218" i="1" s="1"/>
  <c r="I219" i="1" s="1"/>
  <c r="H96" i="1"/>
  <c r="J214" i="1" l="1"/>
  <c r="J218" i="1" s="1"/>
  <c r="J219" i="1" s="1"/>
  <c r="I96" i="1"/>
  <c r="K214" i="1" l="1"/>
  <c r="K218" i="1" s="1"/>
  <c r="K219" i="1" s="1"/>
  <c r="J96" i="1"/>
  <c r="L214" i="1" l="1"/>
  <c r="L218" i="1" s="1"/>
  <c r="L219" i="1" s="1"/>
  <c r="K96" i="1"/>
  <c r="M214" i="1" l="1"/>
  <c r="M218" i="1" s="1"/>
  <c r="M219" i="1" s="1"/>
  <c r="L96" i="1"/>
  <c r="N214" i="1" l="1"/>
  <c r="N218" i="1" s="1"/>
  <c r="N219" i="1" s="1"/>
  <c r="M96" i="1"/>
  <c r="O214" i="1" l="1"/>
  <c r="O218" i="1" s="1"/>
  <c r="N96" i="1"/>
  <c r="C211" i="1"/>
  <c r="C88" i="1" s="1"/>
  <c r="O96" i="1" l="1"/>
  <c r="O219" i="1"/>
  <c r="C89" i="1"/>
  <c r="D207" i="1"/>
  <c r="C101" i="1" l="1"/>
  <c r="C329" i="1"/>
  <c r="C330" i="1"/>
  <c r="D211" i="1"/>
  <c r="D88" i="1" l="1"/>
  <c r="D89" i="1" s="1"/>
  <c r="D212" i="1"/>
  <c r="E207" i="1"/>
  <c r="E211" i="1" s="1"/>
  <c r="D329" i="1" l="1"/>
  <c r="D330" i="1"/>
  <c r="F207" i="1"/>
  <c r="F211" i="1" s="1"/>
  <c r="F212" i="1" s="1"/>
  <c r="F115" i="1" s="1"/>
  <c r="E212" i="1"/>
  <c r="E88" i="1"/>
  <c r="E89" i="1" s="1"/>
  <c r="U13" i="6" s="1"/>
  <c r="AJ13" i="6" l="1"/>
  <c r="AI13" i="6"/>
  <c r="Y13" i="6"/>
  <c r="R23" i="6" s="1"/>
  <c r="E329" i="1"/>
  <c r="E330" i="1"/>
  <c r="F116" i="1"/>
  <c r="G207" i="1"/>
  <c r="G211" i="1" s="1"/>
  <c r="G212" i="1" s="1"/>
  <c r="G115" i="1" s="1"/>
  <c r="F88" i="1"/>
  <c r="AK13" i="6" l="1"/>
  <c r="H207" i="1"/>
  <c r="H211" i="1" s="1"/>
  <c r="H212" i="1" s="1"/>
  <c r="H115" i="1" s="1"/>
  <c r="G88" i="1"/>
  <c r="H88" i="1" l="1"/>
  <c r="I207" i="1"/>
  <c r="I211" i="1" s="1"/>
  <c r="I212" i="1" s="1"/>
  <c r="I115" i="1" s="1"/>
  <c r="I88" i="1" l="1"/>
  <c r="J207" i="1"/>
  <c r="J211" i="1" s="1"/>
  <c r="J212" i="1" s="1"/>
  <c r="J115" i="1" s="1"/>
  <c r="J88" i="1" l="1"/>
  <c r="K207" i="1"/>
  <c r="K211" i="1" s="1"/>
  <c r="K212" i="1" s="1"/>
  <c r="K115" i="1" s="1"/>
  <c r="K88" i="1" l="1"/>
  <c r="L207" i="1"/>
  <c r="L211" i="1" s="1"/>
  <c r="L212" i="1" s="1"/>
  <c r="L115" i="1" s="1"/>
  <c r="L88" i="1" l="1"/>
  <c r="M207" i="1"/>
  <c r="M211" i="1" s="1"/>
  <c r="M212" i="1" s="1"/>
  <c r="M115" i="1" s="1"/>
  <c r="M88" i="1" l="1"/>
  <c r="N207" i="1"/>
  <c r="N211" i="1" s="1"/>
  <c r="N212" i="1" s="1"/>
  <c r="N115" i="1" s="1"/>
  <c r="N88" i="1" l="1"/>
  <c r="O207" i="1"/>
  <c r="O211" i="1" s="1"/>
  <c r="O88" i="1" s="1"/>
  <c r="O212" i="1" l="1"/>
  <c r="O115" i="1" s="1"/>
  <c r="D230" i="1" l="1"/>
  <c r="E228" i="1" l="1"/>
  <c r="E229" i="1" s="1"/>
  <c r="D248" i="1"/>
  <c r="D253" i="1" l="1"/>
  <c r="D254" i="1"/>
  <c r="E230" i="1"/>
  <c r="D334" i="1"/>
  <c r="D97" i="1"/>
  <c r="F228" i="1" l="1"/>
  <c r="F229" i="1" s="1"/>
  <c r="E248" i="1"/>
  <c r="D98" i="1"/>
  <c r="D100" i="1" s="1"/>
  <c r="D101" i="1" s="1"/>
  <c r="D326" i="1"/>
  <c r="E253" i="1" l="1"/>
  <c r="E254" i="1"/>
  <c r="E291" i="1"/>
  <c r="E297" i="1" s="1"/>
  <c r="G13" i="6"/>
  <c r="E334" i="1"/>
  <c r="E97" i="1"/>
  <c r="E98" i="1" l="1"/>
  <c r="E100" i="1" s="1"/>
  <c r="E101" i="1" s="1"/>
  <c r="O301" i="1"/>
  <c r="O302" i="1" s="1"/>
  <c r="E300" i="1" s="1"/>
  <c r="C287" i="1" s="1"/>
  <c r="Z13" i="6"/>
  <c r="V23" i="6" s="1"/>
  <c r="U23" i="6"/>
  <c r="AG13" i="6"/>
  <c r="AF13" i="6"/>
  <c r="W23" i="6"/>
  <c r="E13" i="6"/>
  <c r="K23" i="6" s="1"/>
  <c r="E292" i="1"/>
  <c r="E293" i="1" s="1"/>
  <c r="E298" i="1" s="1"/>
  <c r="E286" i="1" s="1"/>
  <c r="C286" i="1"/>
  <c r="E326" i="1"/>
  <c r="F230" i="1"/>
  <c r="N318" i="1" l="1"/>
  <c r="N319" i="1" s="1"/>
  <c r="N320" i="1" s="1"/>
  <c r="O318" i="1"/>
  <c r="O319" i="1" s="1"/>
  <c r="O320" i="1" s="1"/>
  <c r="C288" i="1"/>
  <c r="D287" i="1" s="1"/>
  <c r="M23" i="6"/>
  <c r="E23" i="6"/>
  <c r="J23" i="6"/>
  <c r="L23" i="6"/>
  <c r="G228" i="1"/>
  <c r="F248" i="1"/>
  <c r="F253" i="1" l="1"/>
  <c r="F334" i="1" s="1"/>
  <c r="F254" i="1"/>
  <c r="D286" i="1"/>
  <c r="D288" i="1" s="1"/>
  <c r="F97" i="1"/>
  <c r="E288" i="1" l="1"/>
  <c r="D279" i="1" s="1"/>
  <c r="F98" i="1"/>
  <c r="O295" i="1" l="1"/>
  <c r="O291" i="1"/>
  <c r="D312" i="1" s="1"/>
  <c r="L279" i="1"/>
  <c r="L280" i="1" s="1"/>
  <c r="O279" i="1"/>
  <c r="O280" i="1" s="1"/>
  <c r="I279" i="1"/>
  <c r="I280" i="1" s="1"/>
  <c r="K279" i="1"/>
  <c r="K280" i="1" s="1"/>
  <c r="N279" i="1"/>
  <c r="N280" i="1" s="1"/>
  <c r="H279" i="1"/>
  <c r="H280" i="1" s="1"/>
  <c r="M279" i="1"/>
  <c r="M280" i="1" s="1"/>
  <c r="G279" i="1"/>
  <c r="G280" i="1" s="1"/>
  <c r="J279" i="1"/>
  <c r="J280" i="1" s="1"/>
  <c r="F279" i="1"/>
  <c r="F280" i="1" s="1"/>
  <c r="O281" i="1" l="1"/>
  <c r="E311" i="1" s="1"/>
  <c r="O296" i="1"/>
  <c r="E312" i="1" s="1"/>
  <c r="D311" i="1" l="1"/>
  <c r="D313" i="1" s="1"/>
  <c r="D315" i="1" s="1"/>
  <c r="D316" i="1" s="1"/>
  <c r="E313" i="1"/>
  <c r="E315" i="1" s="1"/>
  <c r="E316" i="1" s="1"/>
  <c r="E332" i="1" l="1"/>
  <c r="F262" i="1"/>
  <c r="F99" i="1" s="1"/>
  <c r="F126" i="1"/>
  <c r="F141" i="1" s="1"/>
  <c r="F135" i="1" s="1"/>
  <c r="F136" i="1" s="1"/>
  <c r="F100" i="1" l="1"/>
  <c r="F327" i="1"/>
  <c r="F326" i="1"/>
  <c r="F78" i="1"/>
  <c r="G134" i="1"/>
  <c r="G257" i="1"/>
  <c r="F124" i="1"/>
  <c r="F127" i="1" s="1"/>
  <c r="F129" i="1" s="1"/>
  <c r="F130" i="1" s="1"/>
  <c r="F263" i="1" l="1"/>
  <c r="F77" i="1"/>
  <c r="F82" i="1" s="1"/>
  <c r="F89" i="1" s="1"/>
  <c r="G128" i="1"/>
  <c r="F140" i="1"/>
  <c r="G264" i="1"/>
  <c r="G142" i="1"/>
  <c r="G24" i="1" l="1"/>
  <c r="G27" i="1" s="1"/>
  <c r="G28" i="1" s="1"/>
  <c r="G29" i="1" s="1"/>
  <c r="G31" i="1" s="1"/>
  <c r="G331" i="1" s="1"/>
  <c r="G223" i="1"/>
  <c r="G229" i="1" s="1"/>
  <c r="G230" i="1" s="1"/>
  <c r="G139" i="1"/>
  <c r="F101" i="1"/>
  <c r="F329" i="1"/>
  <c r="F330" i="1"/>
  <c r="G260" i="1" l="1"/>
  <c r="G104" i="1"/>
  <c r="G116" i="1" s="1"/>
  <c r="G328" i="1"/>
  <c r="H228" i="1"/>
  <c r="G224" i="1"/>
  <c r="H222" i="1" s="1"/>
  <c r="H226" i="1" l="1"/>
  <c r="H247" i="1" s="1"/>
  <c r="G248" i="1"/>
  <c r="G261" i="1"/>
  <c r="G126" i="1" s="1"/>
  <c r="G141" i="1" s="1"/>
  <c r="G135" i="1" s="1"/>
  <c r="G253" i="1" l="1"/>
  <c r="G334" i="1" s="1"/>
  <c r="G254" i="1"/>
  <c r="H251" i="1"/>
  <c r="H250" i="1"/>
  <c r="H333" i="1" s="1"/>
  <c r="H252" i="1"/>
  <c r="G262" i="1"/>
  <c r="G99" i="1" s="1"/>
  <c r="G327" i="1" s="1"/>
  <c r="G124" i="1"/>
  <c r="G127" i="1" s="1"/>
  <c r="G129" i="1" s="1"/>
  <c r="G130" i="1" s="1"/>
  <c r="G77" i="1" s="1"/>
  <c r="G136" i="1"/>
  <c r="G78" i="1" s="1"/>
  <c r="H25" i="1"/>
  <c r="G97" i="1"/>
  <c r="H257" i="1" l="1"/>
  <c r="G326" i="1"/>
  <c r="G98" i="1"/>
  <c r="G100" i="1" s="1"/>
  <c r="H134" i="1"/>
  <c r="H128" i="1"/>
  <c r="G263" i="1"/>
  <c r="G140" i="1"/>
  <c r="G82" i="1" l="1"/>
  <c r="G89" i="1" s="1"/>
  <c r="H139" i="1"/>
  <c r="H223" i="1"/>
  <c r="H229" i="1" s="1"/>
  <c r="H230" i="1" s="1"/>
  <c r="H264" i="1"/>
  <c r="H142" i="1"/>
  <c r="H24" i="1" l="1"/>
  <c r="H27" i="1" s="1"/>
  <c r="H28" i="1" s="1"/>
  <c r="H29" i="1" s="1"/>
  <c r="H31" i="1" s="1"/>
  <c r="H331" i="1" s="1"/>
  <c r="I228" i="1"/>
  <c r="H224" i="1"/>
  <c r="I222" i="1" s="1"/>
  <c r="G329" i="1"/>
  <c r="G101" i="1"/>
  <c r="G330" i="1"/>
  <c r="H328" i="1" l="1"/>
  <c r="H104" i="1"/>
  <c r="H116" i="1" s="1"/>
  <c r="H260" i="1"/>
  <c r="I226" i="1"/>
  <c r="I247" i="1" s="1"/>
  <c r="H248" i="1"/>
  <c r="H253" i="1" l="1"/>
  <c r="H334" i="1" s="1"/>
  <c r="H254" i="1"/>
  <c r="I250" i="1"/>
  <c r="I333" i="1" s="1"/>
  <c r="I252" i="1"/>
  <c r="I251" i="1"/>
  <c r="H97" i="1"/>
  <c r="I25" i="1"/>
  <c r="H261" i="1"/>
  <c r="H126" i="1" s="1"/>
  <c r="H141" i="1" s="1"/>
  <c r="H135" i="1" s="1"/>
  <c r="H262" i="1" l="1"/>
  <c r="H99" i="1" s="1"/>
  <c r="H327" i="1" s="1"/>
  <c r="H136" i="1"/>
  <c r="H124" i="1"/>
  <c r="H127" i="1" s="1"/>
  <c r="H129" i="1" s="1"/>
  <c r="H130" i="1" s="1"/>
  <c r="H98" i="1"/>
  <c r="H100" i="1" l="1"/>
  <c r="I257" i="1"/>
  <c r="H326" i="1"/>
  <c r="H140" i="1"/>
  <c r="H263" i="1"/>
  <c r="I128" i="1"/>
  <c r="H77" i="1"/>
  <c r="H78" i="1"/>
  <c r="I134" i="1"/>
  <c r="I264" i="1" l="1"/>
  <c r="I142" i="1"/>
  <c r="H82" i="1"/>
  <c r="H89" i="1" s="1"/>
  <c r="I139" i="1"/>
  <c r="I223" i="1"/>
  <c r="I24" i="1" l="1"/>
  <c r="I27" i="1" s="1"/>
  <c r="I28" i="1" s="1"/>
  <c r="I29" i="1" s="1"/>
  <c r="I31" i="1" s="1"/>
  <c r="I331" i="1" s="1"/>
  <c r="I224" i="1"/>
  <c r="J222" i="1" s="1"/>
  <c r="I229" i="1"/>
  <c r="I230" i="1" s="1"/>
  <c r="H101" i="1"/>
  <c r="H330" i="1"/>
  <c r="H329" i="1"/>
  <c r="I260" i="1" l="1"/>
  <c r="I104" i="1"/>
  <c r="I116" i="1" s="1"/>
  <c r="I328" i="1"/>
  <c r="J228" i="1"/>
  <c r="I248" i="1"/>
  <c r="J226" i="1"/>
  <c r="J247" i="1" s="1"/>
  <c r="J251" i="1" l="1"/>
  <c r="J250" i="1"/>
  <c r="J333" i="1" s="1"/>
  <c r="J252" i="1"/>
  <c r="I254" i="1"/>
  <c r="I253" i="1"/>
  <c r="I334" i="1" s="1"/>
  <c r="J25" i="1"/>
  <c r="I97" i="1"/>
  <c r="I261" i="1"/>
  <c r="I126" i="1" s="1"/>
  <c r="I262" i="1" l="1"/>
  <c r="I141" i="1"/>
  <c r="I135" i="1" s="1"/>
  <c r="I98" i="1"/>
  <c r="I124" i="1" l="1"/>
  <c r="I127" i="1" s="1"/>
  <c r="I129" i="1" s="1"/>
  <c r="I130" i="1" s="1"/>
  <c r="I136" i="1"/>
  <c r="I99" i="1"/>
  <c r="J257" i="1"/>
  <c r="I327" i="1" l="1"/>
  <c r="I326" i="1"/>
  <c r="I78" i="1"/>
  <c r="J134" i="1"/>
  <c r="I140" i="1"/>
  <c r="I263" i="1"/>
  <c r="I77" i="1"/>
  <c r="J128" i="1"/>
  <c r="I100" i="1"/>
  <c r="I82" i="1" l="1"/>
  <c r="I89" i="1" s="1"/>
  <c r="I330" i="1" s="1"/>
  <c r="J223" i="1"/>
  <c r="J229" i="1" s="1"/>
  <c r="J230" i="1" s="1"/>
  <c r="J139" i="1"/>
  <c r="J142" i="1"/>
  <c r="J264" i="1"/>
  <c r="J24" i="1" l="1"/>
  <c r="J27" i="1" s="1"/>
  <c r="J28" i="1" s="1"/>
  <c r="J29" i="1" s="1"/>
  <c r="J31" i="1" s="1"/>
  <c r="J331" i="1" s="1"/>
  <c r="I101" i="1"/>
  <c r="I329" i="1"/>
  <c r="K228" i="1"/>
  <c r="J224" i="1"/>
  <c r="K222" i="1" s="1"/>
  <c r="J260" i="1" l="1"/>
  <c r="J328" i="1"/>
  <c r="J104" i="1"/>
  <c r="J116" i="1" s="1"/>
  <c r="K226" i="1"/>
  <c r="K247" i="1" s="1"/>
  <c r="J248" i="1"/>
  <c r="J253" i="1" l="1"/>
  <c r="J334" i="1" s="1"/>
  <c r="J254" i="1"/>
  <c r="K252" i="1"/>
  <c r="K250" i="1"/>
  <c r="K333" i="1" s="1"/>
  <c r="K251" i="1"/>
  <c r="K25" i="1"/>
  <c r="J97" i="1"/>
  <c r="J261" i="1"/>
  <c r="J126" i="1" s="1"/>
  <c r="J141" i="1" s="1"/>
  <c r="J135" i="1" s="1"/>
  <c r="J262" i="1" l="1"/>
  <c r="J99" i="1" s="1"/>
  <c r="J327" i="1" s="1"/>
  <c r="J136" i="1"/>
  <c r="J124" i="1"/>
  <c r="J127" i="1" s="1"/>
  <c r="J129" i="1" s="1"/>
  <c r="J130" i="1" s="1"/>
  <c r="J98" i="1"/>
  <c r="K257" i="1" l="1"/>
  <c r="J326" i="1"/>
  <c r="J100" i="1"/>
  <c r="J263" i="1"/>
  <c r="J140" i="1"/>
  <c r="J77" i="1"/>
  <c r="K128" i="1"/>
  <c r="K134" i="1"/>
  <c r="J78" i="1"/>
  <c r="K264" i="1" l="1"/>
  <c r="K142" i="1"/>
  <c r="K223" i="1"/>
  <c r="K139" i="1"/>
  <c r="J82" i="1"/>
  <c r="J89" i="1" s="1"/>
  <c r="K24" i="1" l="1"/>
  <c r="K27" i="1" s="1"/>
  <c r="K28" i="1" s="1"/>
  <c r="K29" i="1" s="1"/>
  <c r="K31" i="1" s="1"/>
  <c r="K331" i="1" s="1"/>
  <c r="J329" i="1"/>
  <c r="J101" i="1"/>
  <c r="J330" i="1"/>
  <c r="K224" i="1"/>
  <c r="L222" i="1" s="1"/>
  <c r="K229" i="1"/>
  <c r="K230" i="1" s="1"/>
  <c r="K104" i="1" l="1"/>
  <c r="K116" i="1" s="1"/>
  <c r="K328" i="1"/>
  <c r="K260" i="1"/>
  <c r="K248" i="1"/>
  <c r="L228" i="1"/>
  <c r="L226" i="1"/>
  <c r="L247" i="1" s="1"/>
  <c r="L250" i="1" l="1"/>
  <c r="L333" i="1" s="1"/>
  <c r="L251" i="1"/>
  <c r="L252" i="1"/>
  <c r="K253" i="1"/>
  <c r="K334" i="1" s="1"/>
  <c r="K254" i="1"/>
  <c r="K97" i="1"/>
  <c r="K261" i="1"/>
  <c r="K126" i="1" s="1"/>
  <c r="K141" i="1" s="1"/>
  <c r="K135" i="1" s="1"/>
  <c r="L25" i="1"/>
  <c r="K262" i="1" l="1"/>
  <c r="K99" i="1" s="1"/>
  <c r="K124" i="1"/>
  <c r="K127" i="1" s="1"/>
  <c r="K129" i="1" s="1"/>
  <c r="K130" i="1" s="1"/>
  <c r="K136" i="1"/>
  <c r="K98" i="1"/>
  <c r="L257" i="1" l="1"/>
  <c r="K327" i="1"/>
  <c r="K326" i="1"/>
  <c r="K100" i="1"/>
  <c r="K263" i="1"/>
  <c r="K140" i="1"/>
  <c r="L128" i="1"/>
  <c r="K77" i="1"/>
  <c r="K78" i="1"/>
  <c r="L134" i="1"/>
  <c r="L142" i="1" l="1"/>
  <c r="L264" i="1"/>
  <c r="K82" i="1"/>
  <c r="K89" i="1" s="1"/>
  <c r="L223" i="1"/>
  <c r="L139" i="1"/>
  <c r="L24" i="1" l="1"/>
  <c r="L27" i="1" s="1"/>
  <c r="L28" i="1" s="1"/>
  <c r="L29" i="1" s="1"/>
  <c r="L31" i="1" s="1"/>
  <c r="L331" i="1" s="1"/>
  <c r="L224" i="1"/>
  <c r="M222" i="1" s="1"/>
  <c r="L229" i="1"/>
  <c r="L230" i="1" s="1"/>
  <c r="K330" i="1"/>
  <c r="K329" i="1"/>
  <c r="K101" i="1"/>
  <c r="L260" i="1" l="1"/>
  <c r="L104" i="1"/>
  <c r="L116" i="1" s="1"/>
  <c r="L328" i="1"/>
  <c r="M226" i="1"/>
  <c r="M247" i="1" s="1"/>
  <c r="L248" i="1"/>
  <c r="M228" i="1"/>
  <c r="L253" i="1" l="1"/>
  <c r="L334" i="1" s="1"/>
  <c r="L254" i="1"/>
  <c r="M251" i="1"/>
  <c r="M252" i="1"/>
  <c r="M250" i="1"/>
  <c r="M333" i="1" s="1"/>
  <c r="L97" i="1"/>
  <c r="M25" i="1"/>
  <c r="L261" i="1"/>
  <c r="L126" i="1" s="1"/>
  <c r="L262" i="1" l="1"/>
  <c r="L99" i="1" s="1"/>
  <c r="L141" i="1"/>
  <c r="L135" i="1" s="1"/>
  <c r="L98" i="1"/>
  <c r="L327" i="1" l="1"/>
  <c r="L326" i="1"/>
  <c r="L100" i="1"/>
  <c r="M257" i="1"/>
  <c r="L136" i="1"/>
  <c r="L124" i="1"/>
  <c r="L127" i="1" s="1"/>
  <c r="L129" i="1" s="1"/>
  <c r="L130" i="1" s="1"/>
  <c r="M128" i="1" l="1"/>
  <c r="L77" i="1"/>
  <c r="L263" i="1"/>
  <c r="L140" i="1"/>
  <c r="M134" i="1"/>
  <c r="L78" i="1"/>
  <c r="M264" i="1" l="1"/>
  <c r="M142" i="1"/>
  <c r="L82" i="1"/>
  <c r="L89" i="1" s="1"/>
  <c r="M223" i="1"/>
  <c r="M229" i="1" s="1"/>
  <c r="M230" i="1" s="1"/>
  <c r="M139" i="1"/>
  <c r="M24" i="1" l="1"/>
  <c r="M27" i="1" s="1"/>
  <c r="M28" i="1" s="1"/>
  <c r="M29" i="1" s="1"/>
  <c r="M31" i="1" s="1"/>
  <c r="M331" i="1" s="1"/>
  <c r="N228" i="1"/>
  <c r="M224" i="1"/>
  <c r="N222" i="1" s="1"/>
  <c r="L329" i="1"/>
  <c r="L330" i="1"/>
  <c r="L101" i="1"/>
  <c r="M260" i="1" l="1"/>
  <c r="M328" i="1"/>
  <c r="M104" i="1"/>
  <c r="M116" i="1" s="1"/>
  <c r="N226" i="1"/>
  <c r="N247" i="1" s="1"/>
  <c r="M248" i="1"/>
  <c r="N251" i="1" l="1"/>
  <c r="N252" i="1"/>
  <c r="N250" i="1"/>
  <c r="N333" i="1" s="1"/>
  <c r="M253" i="1"/>
  <c r="M334" i="1" s="1"/>
  <c r="M254" i="1"/>
  <c r="M97" i="1"/>
  <c r="N25" i="1"/>
  <c r="M261" i="1"/>
  <c r="M126" i="1" s="1"/>
  <c r="M262" i="1" l="1"/>
  <c r="N257" i="1" s="1"/>
  <c r="M141" i="1"/>
  <c r="M135" i="1" s="1"/>
  <c r="M98" i="1"/>
  <c r="M99" i="1" l="1"/>
  <c r="M327" i="1" s="1"/>
  <c r="M124" i="1"/>
  <c r="M127" i="1" s="1"/>
  <c r="M129" i="1" s="1"/>
  <c r="M130" i="1" s="1"/>
  <c r="M136" i="1"/>
  <c r="M326" i="1" l="1"/>
  <c r="M100" i="1"/>
  <c r="M78" i="1"/>
  <c r="N134" i="1"/>
  <c r="N128" i="1"/>
  <c r="M140" i="1"/>
  <c r="M263" i="1"/>
  <c r="M77" i="1"/>
  <c r="M82" i="1" l="1"/>
  <c r="M89" i="1" s="1"/>
  <c r="M329" i="1" s="1"/>
  <c r="N223" i="1"/>
  <c r="N139" i="1"/>
  <c r="N142" i="1"/>
  <c r="N264" i="1"/>
  <c r="N24" i="1" l="1"/>
  <c r="N27" i="1" s="1"/>
  <c r="N28" i="1" s="1"/>
  <c r="N29" i="1" s="1"/>
  <c r="N31" i="1" s="1"/>
  <c r="N331" i="1" s="1"/>
  <c r="M101" i="1"/>
  <c r="M330" i="1"/>
  <c r="N224" i="1"/>
  <c r="O222" i="1" s="1"/>
  <c r="N229" i="1"/>
  <c r="N230" i="1" s="1"/>
  <c r="N248" i="1" l="1"/>
  <c r="O228" i="1"/>
  <c r="O226" i="1"/>
  <c r="O247" i="1" s="1"/>
  <c r="N260" i="1"/>
  <c r="N104" i="1"/>
  <c r="N116" i="1" s="1"/>
  <c r="N328" i="1"/>
  <c r="O252" i="1" l="1"/>
  <c r="O251" i="1"/>
  <c r="O250" i="1"/>
  <c r="O333" i="1" s="1"/>
  <c r="N254" i="1"/>
  <c r="N253" i="1"/>
  <c r="N334" i="1" s="1"/>
  <c r="N261" i="1"/>
  <c r="N126" i="1" s="1"/>
  <c r="N141" i="1" s="1"/>
  <c r="N135" i="1" s="1"/>
  <c r="O25" i="1"/>
  <c r="N97" i="1"/>
  <c r="N262" i="1" l="1"/>
  <c r="O257" i="1" s="1"/>
  <c r="N124" i="1"/>
  <c r="N127" i="1" s="1"/>
  <c r="N129" i="1" s="1"/>
  <c r="N130" i="1" s="1"/>
  <c r="N136" i="1"/>
  <c r="N98" i="1"/>
  <c r="N99" i="1" l="1"/>
  <c r="N327" i="1" s="1"/>
  <c r="O128" i="1"/>
  <c r="N140" i="1"/>
  <c r="N77" i="1"/>
  <c r="N263" i="1"/>
  <c r="N78" i="1"/>
  <c r="O134" i="1"/>
  <c r="N100" i="1" l="1"/>
  <c r="N326" i="1"/>
  <c r="O264" i="1"/>
  <c r="O142" i="1"/>
  <c r="N82" i="1"/>
  <c r="N89" i="1" s="1"/>
  <c r="O139" i="1"/>
  <c r="O223" i="1"/>
  <c r="O24" i="1" l="1"/>
  <c r="O27" i="1" s="1"/>
  <c r="O28" i="1" s="1"/>
  <c r="O29" i="1" s="1"/>
  <c r="O31" i="1" s="1"/>
  <c r="O331" i="1" s="1"/>
  <c r="O224" i="1"/>
  <c r="O229" i="1"/>
  <c r="O230" i="1" s="1"/>
  <c r="N101" i="1"/>
  <c r="N329" i="1"/>
  <c r="N330" i="1"/>
  <c r="O260" i="1" l="1"/>
  <c r="O104" i="1"/>
  <c r="O116" i="1" s="1"/>
  <c r="O328" i="1"/>
  <c r="O248" i="1"/>
  <c r="O253" i="1" l="1"/>
  <c r="O334" i="1" s="1"/>
  <c r="O254" i="1"/>
  <c r="O97" i="1"/>
  <c r="O261" i="1"/>
  <c r="O126" i="1" s="1"/>
  <c r="O262" i="1" l="1"/>
  <c r="O99" i="1" s="1"/>
  <c r="O327" i="1" s="1"/>
  <c r="O141" i="1"/>
  <c r="O135" i="1" s="1"/>
  <c r="O98" i="1"/>
  <c r="O100" i="1" l="1"/>
  <c r="O326" i="1"/>
  <c r="O136" i="1"/>
  <c r="O78" i="1" s="1"/>
  <c r="O124" i="1"/>
  <c r="O127" i="1" s="1"/>
  <c r="O129" i="1" s="1"/>
  <c r="O130" i="1" s="1"/>
  <c r="O263" i="1" l="1"/>
  <c r="O140" i="1"/>
  <c r="O77" i="1"/>
  <c r="O82" i="1" s="1"/>
  <c r="O89" i="1" s="1"/>
  <c r="O329" i="1" l="1"/>
  <c r="O330" i="1"/>
  <c r="O10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Bryce Hamlet</author>
  </authors>
  <commentList>
    <comment ref="B122" authorId="0" shapeId="0" xr:uid="{3C288E0D-854E-441F-8325-FCEB1CDABBBE}">
      <text>
        <r>
          <rPr>
            <b/>
            <sz val="9"/>
            <color rgb="FF000000"/>
            <rFont val="Tahoma"/>
            <family val="2"/>
          </rPr>
          <t>Bryce Hamlet:</t>
        </r>
        <r>
          <rPr>
            <sz val="9"/>
            <color rgb="FF000000"/>
            <rFont val="Tahoma"/>
            <family val="2"/>
          </rPr>
          <t xml:space="preserve">
</t>
        </r>
        <r>
          <rPr>
            <sz val="9"/>
            <color rgb="FF000000"/>
            <rFont val="Tahoma"/>
            <family val="2"/>
          </rPr>
          <t xml:space="preserve">Purchases of Investments, Sales of Investments, and Other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Bryce Hamlet</author>
    <author>Nick Ward</author>
    <author>Stephen Moyer</author>
    <author>Unknown Author</author>
  </authors>
  <commentList>
    <comment ref="B109" authorId="0" shapeId="0" xr:uid="{B4074AEF-DD93-2F40-BE82-7A245E2593FB}">
      <text>
        <r>
          <rPr>
            <b/>
            <sz val="9"/>
            <color rgb="FF000000"/>
            <rFont val="Tahoma"/>
            <family val="2"/>
          </rPr>
          <t>Bryce Hamlet:</t>
        </r>
        <r>
          <rPr>
            <sz val="9"/>
            <color rgb="FF000000"/>
            <rFont val="Tahoma"/>
            <family val="2"/>
          </rPr>
          <t xml:space="preserve">
</t>
        </r>
        <r>
          <rPr>
            <sz val="9"/>
            <color rgb="FF000000"/>
            <rFont val="Tahoma"/>
            <family val="2"/>
          </rPr>
          <t xml:space="preserve">Combined Deferred Taxes and Other Non-Cash Taxes, Loss on Debt Extinguishment, Other, and Non-Cash Interest Expense
</t>
        </r>
      </text>
    </comment>
    <comment ref="B123" authorId="0" shapeId="0" xr:uid="{E65B0A65-1A60-FC41-A529-4F5F7683A390}">
      <text>
        <r>
          <rPr>
            <b/>
            <sz val="9"/>
            <color indexed="81"/>
            <rFont val="Tahoma"/>
            <family val="2"/>
          </rPr>
          <t>Bryce Hamlet:</t>
        </r>
        <r>
          <rPr>
            <sz val="9"/>
            <color indexed="81"/>
            <rFont val="Tahoma"/>
            <family val="2"/>
          </rPr>
          <t xml:space="preserve">
Purchases of Investments, Sales of Investments, and Other
</t>
        </r>
      </text>
    </comment>
    <comment ref="C143" authorId="1" shapeId="0" xr:uid="{2C0DAE93-95F1-0545-85E7-73DAEFB47DE0}">
      <text>
        <r>
          <rPr>
            <b/>
            <sz val="9"/>
            <color rgb="FF000000"/>
            <rFont val="Tahoma"/>
            <family val="2"/>
          </rPr>
          <t>Nick Ward:</t>
        </r>
        <r>
          <rPr>
            <sz val="9"/>
            <color rgb="FF000000"/>
            <rFont val="Tahoma"/>
            <family val="2"/>
          </rPr>
          <t xml:space="preserve">
</t>
        </r>
        <r>
          <rPr>
            <sz val="9"/>
            <color rgb="FF000000"/>
            <rFont val="Tahoma"/>
            <family val="2"/>
          </rPr>
          <t>2025 10-K p 68</t>
        </r>
      </text>
    </comment>
    <comment ref="D143" authorId="1" shapeId="0" xr:uid="{55282E48-9FD7-5547-8A17-F4B7779346A2}">
      <text>
        <r>
          <rPr>
            <b/>
            <sz val="9"/>
            <color rgb="FF000000"/>
            <rFont val="Tahoma"/>
            <family val="2"/>
          </rPr>
          <t>Nick Ward:</t>
        </r>
        <r>
          <rPr>
            <sz val="9"/>
            <color rgb="FF000000"/>
            <rFont val="Tahoma"/>
            <family val="2"/>
          </rPr>
          <t xml:space="preserve">
</t>
        </r>
        <r>
          <rPr>
            <sz val="9"/>
            <color rgb="FF000000"/>
            <rFont val="Tahoma"/>
            <family val="2"/>
          </rPr>
          <t>2025 10-K p 68</t>
        </r>
      </text>
    </comment>
    <comment ref="E143" authorId="1" shapeId="0" xr:uid="{6DB3069C-E897-1446-9D4D-269EF376E69A}">
      <text>
        <r>
          <rPr>
            <b/>
            <sz val="9"/>
            <color rgb="FF000000"/>
            <rFont val="Tahoma"/>
            <family val="2"/>
          </rPr>
          <t>Nick Ward:</t>
        </r>
        <r>
          <rPr>
            <sz val="9"/>
            <color rgb="FF000000"/>
            <rFont val="Tahoma"/>
            <family val="2"/>
          </rPr>
          <t xml:space="preserve">
</t>
        </r>
        <r>
          <rPr>
            <sz val="9"/>
            <color rgb="FF000000"/>
            <rFont val="Tahoma"/>
            <family val="2"/>
          </rPr>
          <t>2025 10-K p 68</t>
        </r>
      </text>
    </comment>
    <comment ref="F144" authorId="0" shapeId="0" xr:uid="{F6E24BBC-E0F8-AF45-A668-4B0B869DDD28}">
      <text>
        <r>
          <rPr>
            <b/>
            <sz val="9"/>
            <color rgb="FF000000"/>
            <rFont val="Tahoma"/>
            <family val="2"/>
          </rPr>
          <t>Bryce Hamlet:</t>
        </r>
        <r>
          <rPr>
            <sz val="9"/>
            <color rgb="FF000000"/>
            <rFont val="Tahoma"/>
            <family val="2"/>
          </rPr>
          <t xml:space="preserve">
</t>
        </r>
        <r>
          <rPr>
            <sz val="9"/>
            <color rgb="FF000000"/>
            <rFont val="Tahoma"/>
            <family val="2"/>
          </rPr>
          <t xml:space="preserve">US 10Y as of 2/6/2026
</t>
        </r>
      </text>
    </comment>
    <comment ref="C163" authorId="1" shapeId="0" xr:uid="{ABB2D66C-5B5E-E44D-A14E-F71D9BDCDBB4}">
      <text>
        <r>
          <rPr>
            <b/>
            <sz val="9"/>
            <color rgb="FF000000"/>
            <rFont val="Tahoma"/>
            <family val="2"/>
          </rPr>
          <t>Nick Ward:</t>
        </r>
        <r>
          <rPr>
            <sz val="9"/>
            <color rgb="FF000000"/>
            <rFont val="Tahoma"/>
            <family val="2"/>
          </rPr>
          <t xml:space="preserve">
</t>
        </r>
        <r>
          <rPr>
            <sz val="9"/>
            <color rgb="FF000000"/>
            <rFont val="Tahoma"/>
            <family val="2"/>
          </rPr>
          <t>2023 10-K p 66</t>
        </r>
      </text>
    </comment>
    <comment ref="C181" authorId="1" shapeId="0" xr:uid="{E23D954B-0ED7-CD4A-BCBF-55EB713A805E}">
      <text>
        <r>
          <rPr>
            <b/>
            <sz val="9"/>
            <color rgb="FF000000"/>
            <rFont val="Tahoma"/>
            <family val="2"/>
          </rPr>
          <t>Nick Ward:</t>
        </r>
        <r>
          <rPr>
            <sz val="9"/>
            <color rgb="FF000000"/>
            <rFont val="Tahoma"/>
            <family val="2"/>
          </rPr>
          <t xml:space="preserve">
</t>
        </r>
        <r>
          <rPr>
            <sz val="9"/>
            <color rgb="FF000000"/>
            <rFont val="Tahoma"/>
            <family val="2"/>
          </rPr>
          <t>2023 10-K p 67</t>
        </r>
      </text>
    </comment>
    <comment ref="D181" authorId="1" shapeId="0" xr:uid="{F70BAA83-B3C7-5949-ACBC-51D4DEA128DF}">
      <text>
        <r>
          <rPr>
            <b/>
            <sz val="9"/>
            <color rgb="FF000000"/>
            <rFont val="Tahoma"/>
            <family val="2"/>
          </rPr>
          <t>Nick Ward:</t>
        </r>
        <r>
          <rPr>
            <sz val="9"/>
            <color rgb="FF000000"/>
            <rFont val="Tahoma"/>
            <family val="2"/>
          </rPr>
          <t xml:space="preserve">
</t>
        </r>
        <r>
          <rPr>
            <sz val="9"/>
            <color rgb="FF000000"/>
            <rFont val="Tahoma"/>
            <family val="2"/>
          </rPr>
          <t>2025 10-K p 69</t>
        </r>
      </text>
    </comment>
    <comment ref="E181" authorId="1" shapeId="0" xr:uid="{EE7BE30E-229E-E144-87D4-233B7DF2DB4A}">
      <text>
        <r>
          <rPr>
            <b/>
            <sz val="9"/>
            <color rgb="FF000000"/>
            <rFont val="Tahoma"/>
            <family val="2"/>
          </rPr>
          <t>Nick Ward:</t>
        </r>
        <r>
          <rPr>
            <sz val="9"/>
            <color rgb="FF000000"/>
            <rFont val="Tahoma"/>
            <family val="2"/>
          </rPr>
          <t xml:space="preserve">
</t>
        </r>
        <r>
          <rPr>
            <sz val="9"/>
            <color rgb="FF000000"/>
            <rFont val="Tahoma"/>
            <family val="2"/>
          </rPr>
          <t>2025 10-K p 69</t>
        </r>
      </text>
    </comment>
    <comment ref="C183" authorId="1" shapeId="0" xr:uid="{5BFE15FF-B3F8-834D-97F5-30BC1F8B3975}">
      <text>
        <r>
          <rPr>
            <b/>
            <sz val="9"/>
            <color rgb="FF000000"/>
            <rFont val="Tahoma"/>
            <family val="2"/>
          </rPr>
          <t>Nick Ward:</t>
        </r>
        <r>
          <rPr>
            <sz val="9"/>
            <color rgb="FF000000"/>
            <rFont val="Tahoma"/>
            <family val="2"/>
          </rPr>
          <t xml:space="preserve">
</t>
        </r>
        <r>
          <rPr>
            <sz val="9"/>
            <color rgb="FF000000"/>
            <rFont val="Tahoma"/>
            <family val="2"/>
          </rPr>
          <t>2025 10-K p 68</t>
        </r>
      </text>
    </comment>
    <comment ref="D183" authorId="1" shapeId="0" xr:uid="{B93B5AE1-9C09-064A-A293-17985D32E71D}">
      <text>
        <r>
          <rPr>
            <b/>
            <sz val="9"/>
            <color rgb="FF000000"/>
            <rFont val="Tahoma"/>
            <family val="2"/>
          </rPr>
          <t>Nick Ward:</t>
        </r>
        <r>
          <rPr>
            <sz val="9"/>
            <color rgb="FF000000"/>
            <rFont val="Tahoma"/>
            <family val="2"/>
          </rPr>
          <t xml:space="preserve">
</t>
        </r>
        <r>
          <rPr>
            <sz val="9"/>
            <color rgb="FF000000"/>
            <rFont val="Tahoma"/>
            <family val="2"/>
          </rPr>
          <t>2025 10-K p 68</t>
        </r>
      </text>
    </comment>
    <comment ref="E183" authorId="1" shapeId="0" xr:uid="{1CA6DBAE-46AA-794C-BB3C-CE9416E0BA78}">
      <text>
        <r>
          <rPr>
            <b/>
            <sz val="9"/>
            <color rgb="FF000000"/>
            <rFont val="Tahoma"/>
            <family val="2"/>
          </rPr>
          <t>Nick Ward:</t>
        </r>
        <r>
          <rPr>
            <sz val="9"/>
            <color rgb="FF000000"/>
            <rFont val="Tahoma"/>
            <family val="2"/>
          </rPr>
          <t xml:space="preserve">
</t>
        </r>
        <r>
          <rPr>
            <sz val="9"/>
            <color rgb="FF000000"/>
            <rFont val="Tahoma"/>
            <family val="2"/>
          </rPr>
          <t>2025 10-K p 68</t>
        </r>
      </text>
    </comment>
    <comment ref="C184" authorId="1" shapeId="0" xr:uid="{235F4E30-1736-6F42-844C-F1CE061E4859}">
      <text>
        <r>
          <rPr>
            <b/>
            <sz val="9"/>
            <color rgb="FF000000"/>
            <rFont val="Tahoma"/>
            <family val="2"/>
          </rPr>
          <t>Nick Ward:</t>
        </r>
        <r>
          <rPr>
            <sz val="9"/>
            <color rgb="FF000000"/>
            <rFont val="Tahoma"/>
            <family val="2"/>
          </rPr>
          <t xml:space="preserve">
</t>
        </r>
        <r>
          <rPr>
            <sz val="9"/>
            <color rgb="FF000000"/>
            <rFont val="Tahoma"/>
            <family val="2"/>
          </rPr>
          <t>2023 10-K p 67</t>
        </r>
      </text>
    </comment>
    <comment ref="D184" authorId="1" shapeId="0" xr:uid="{C6B72DD6-C849-EA45-9590-2E18A8A220CA}">
      <text>
        <r>
          <rPr>
            <b/>
            <sz val="9"/>
            <color rgb="FF000000"/>
            <rFont val="Tahoma"/>
            <family val="2"/>
          </rPr>
          <t>Nick Ward:</t>
        </r>
        <r>
          <rPr>
            <sz val="9"/>
            <color rgb="FF000000"/>
            <rFont val="Tahoma"/>
            <family val="2"/>
          </rPr>
          <t xml:space="preserve">
</t>
        </r>
        <r>
          <rPr>
            <sz val="9"/>
            <color rgb="FF000000"/>
            <rFont val="Tahoma"/>
            <family val="2"/>
          </rPr>
          <t xml:space="preserve">2024 10-K p 73
</t>
        </r>
      </text>
    </comment>
    <comment ref="E184" authorId="1" shapeId="0" xr:uid="{DAC66184-0751-5746-A746-B6D9E49546CF}">
      <text>
        <r>
          <rPr>
            <b/>
            <sz val="9"/>
            <color rgb="FF000000"/>
            <rFont val="Tahoma"/>
            <family val="2"/>
          </rPr>
          <t>Nick Ward:</t>
        </r>
        <r>
          <rPr>
            <sz val="9"/>
            <color rgb="FF000000"/>
            <rFont val="Tahoma"/>
            <family val="2"/>
          </rPr>
          <t xml:space="preserve">
</t>
        </r>
        <r>
          <rPr>
            <sz val="9"/>
            <color rgb="FF000000"/>
            <rFont val="Tahoma"/>
            <family val="2"/>
          </rPr>
          <t>2025 10-K p 69</t>
        </r>
      </text>
    </comment>
    <comment ref="F185" authorId="0" shapeId="0" xr:uid="{44513089-57B1-7A4E-BC40-F42C5A6122D2}">
      <text>
        <r>
          <rPr>
            <b/>
            <sz val="9"/>
            <color rgb="FF000000"/>
            <rFont val="Tahoma"/>
            <family val="2"/>
          </rPr>
          <t>Bryce Hamlet:</t>
        </r>
        <r>
          <rPr>
            <sz val="9"/>
            <color rgb="FF000000"/>
            <rFont val="Tahoma"/>
            <family val="2"/>
          </rPr>
          <t xml:space="preserve">
</t>
        </r>
        <r>
          <rPr>
            <sz val="9"/>
            <color rgb="FF000000"/>
            <rFont val="Tahoma"/>
            <family val="2"/>
          </rPr>
          <t xml:space="preserve">Page 67, 2025 10K, looked at future operating lease payments and did 1/5 since they have lease payments (recurring) due till 2030
</t>
        </r>
      </text>
    </comment>
    <comment ref="E186" authorId="0" shapeId="0" xr:uid="{DA484619-F7BF-5D48-9434-0E29F2310BC9}">
      <text>
        <r>
          <rPr>
            <b/>
            <sz val="9"/>
            <color rgb="FF000000"/>
            <rFont val="Tahoma"/>
            <family val="2"/>
          </rPr>
          <t>Bryce Hamlet:</t>
        </r>
        <r>
          <rPr>
            <sz val="9"/>
            <color rgb="FF000000"/>
            <rFont val="Tahoma"/>
            <family val="2"/>
          </rPr>
          <t xml:space="preserve">
</t>
        </r>
        <r>
          <rPr>
            <sz val="9"/>
            <color rgb="FF000000"/>
            <rFont val="Tahoma"/>
            <family val="2"/>
          </rPr>
          <t xml:space="preserve">Weighted-average discount rate
</t>
        </r>
      </text>
    </comment>
    <comment ref="C189" authorId="1" shapeId="0" xr:uid="{83236535-6E57-8A42-ABAB-379C7AA796CC}">
      <text>
        <r>
          <rPr>
            <b/>
            <sz val="9"/>
            <color rgb="FF000000"/>
            <rFont val="Tahoma"/>
            <family val="2"/>
          </rPr>
          <t>Nick Ward:</t>
        </r>
        <r>
          <rPr>
            <sz val="9"/>
            <color rgb="FF000000"/>
            <rFont val="Tahoma"/>
            <family val="2"/>
          </rPr>
          <t xml:space="preserve">
</t>
        </r>
        <r>
          <rPr>
            <sz val="9"/>
            <color rgb="FF000000"/>
            <rFont val="Tahoma"/>
            <family val="2"/>
          </rPr>
          <t>2023 10-K p 65</t>
        </r>
      </text>
    </comment>
    <comment ref="C193" authorId="1" shapeId="0" xr:uid="{322E6B98-EE3A-E447-8747-376034A648C8}">
      <text>
        <r>
          <rPr>
            <b/>
            <sz val="9"/>
            <color rgb="FF000000"/>
            <rFont val="Tahoma"/>
            <family val="2"/>
          </rPr>
          <t>Nick Ward:</t>
        </r>
        <r>
          <rPr>
            <sz val="9"/>
            <color rgb="FF000000"/>
            <rFont val="Tahoma"/>
            <family val="2"/>
          </rPr>
          <t xml:space="preserve">
</t>
        </r>
        <r>
          <rPr>
            <sz val="9"/>
            <color rgb="FF000000"/>
            <rFont val="Tahoma"/>
            <family val="2"/>
          </rPr>
          <t xml:space="preserve">2024 10-K p 71
</t>
        </r>
      </text>
    </comment>
    <comment ref="D193" authorId="1" shapeId="0" xr:uid="{D165552A-CBB9-0F44-84AC-F36686D28F42}">
      <text>
        <r>
          <rPr>
            <b/>
            <sz val="9"/>
            <color rgb="FF000000"/>
            <rFont val="Tahoma"/>
            <family val="2"/>
          </rPr>
          <t>Nick Ward:</t>
        </r>
        <r>
          <rPr>
            <sz val="9"/>
            <color rgb="FF000000"/>
            <rFont val="Tahoma"/>
            <family val="2"/>
          </rPr>
          <t xml:space="preserve">
</t>
        </r>
        <r>
          <rPr>
            <sz val="9"/>
            <color rgb="FF000000"/>
            <rFont val="Tahoma"/>
            <family val="2"/>
          </rPr>
          <t>2025 10-K p 67</t>
        </r>
      </text>
    </comment>
    <comment ref="E193" authorId="1" shapeId="0" xr:uid="{EB558234-C92B-FD4B-9229-5C6218B653F5}">
      <text>
        <r>
          <rPr>
            <b/>
            <sz val="9"/>
            <color rgb="FF000000"/>
            <rFont val="Tahoma"/>
            <family val="2"/>
          </rPr>
          <t>Nick Ward:</t>
        </r>
        <r>
          <rPr>
            <sz val="9"/>
            <color rgb="FF000000"/>
            <rFont val="Tahoma"/>
            <family val="2"/>
          </rPr>
          <t xml:space="preserve">
</t>
        </r>
        <r>
          <rPr>
            <sz val="9"/>
            <color rgb="FF000000"/>
            <rFont val="Tahoma"/>
            <family val="2"/>
          </rPr>
          <t>2025 10-K p 67</t>
        </r>
      </text>
    </comment>
    <comment ref="C194" authorId="1" shapeId="0" xr:uid="{6E59870A-030F-224E-82C6-3E35445F7196}">
      <text>
        <r>
          <rPr>
            <b/>
            <sz val="9"/>
            <color rgb="FF000000"/>
            <rFont val="Tahoma"/>
            <family val="2"/>
          </rPr>
          <t>Nick Ward:</t>
        </r>
        <r>
          <rPr>
            <sz val="9"/>
            <color rgb="FF000000"/>
            <rFont val="Tahoma"/>
            <family val="2"/>
          </rPr>
          <t xml:space="preserve">
</t>
        </r>
        <r>
          <rPr>
            <sz val="9"/>
            <color rgb="FF000000"/>
            <rFont val="Tahoma"/>
            <family val="2"/>
          </rPr>
          <t xml:space="preserve">2024 10-K p 71
</t>
        </r>
      </text>
    </comment>
    <comment ref="D194" authorId="1" shapeId="0" xr:uid="{7A70EE84-141B-004D-8EB5-F4213708882B}">
      <text>
        <r>
          <rPr>
            <b/>
            <sz val="9"/>
            <color rgb="FF000000"/>
            <rFont val="Tahoma"/>
            <family val="2"/>
          </rPr>
          <t>Nick Ward:</t>
        </r>
        <r>
          <rPr>
            <sz val="9"/>
            <color rgb="FF000000"/>
            <rFont val="Tahoma"/>
            <family val="2"/>
          </rPr>
          <t xml:space="preserve">
</t>
        </r>
        <r>
          <rPr>
            <sz val="9"/>
            <color rgb="FF000000"/>
            <rFont val="Tahoma"/>
            <family val="2"/>
          </rPr>
          <t>2025 10-K p 67</t>
        </r>
      </text>
    </comment>
    <comment ref="E194" authorId="1" shapeId="0" xr:uid="{A1D249BA-D97A-FF4D-8B89-E965AA72B43E}">
      <text>
        <r>
          <rPr>
            <b/>
            <sz val="9"/>
            <color rgb="FF000000"/>
            <rFont val="Tahoma"/>
            <family val="2"/>
          </rPr>
          <t>Nick Ward:</t>
        </r>
        <r>
          <rPr>
            <sz val="9"/>
            <color rgb="FF000000"/>
            <rFont val="Tahoma"/>
            <family val="2"/>
          </rPr>
          <t xml:space="preserve">
</t>
        </r>
        <r>
          <rPr>
            <sz val="9"/>
            <color rgb="FF000000"/>
            <rFont val="Tahoma"/>
            <family val="2"/>
          </rPr>
          <t>2025 10-K p 67</t>
        </r>
      </text>
    </comment>
    <comment ref="C259" authorId="0" shapeId="0" xr:uid="{DCD59C0D-2C78-B242-B020-7F1059FC48AA}">
      <text>
        <r>
          <rPr>
            <b/>
            <sz val="9"/>
            <color rgb="FF000000"/>
            <rFont val="Tahoma"/>
            <family val="2"/>
          </rPr>
          <t>Bryce Hamlet:</t>
        </r>
        <r>
          <rPr>
            <sz val="9"/>
            <color rgb="FF000000"/>
            <rFont val="Tahoma"/>
            <family val="2"/>
          </rPr>
          <t xml:space="preserve">
</t>
        </r>
        <r>
          <rPr>
            <sz val="9"/>
            <color rgb="FF000000"/>
            <rFont val="Tahoma"/>
            <family val="2"/>
          </rPr>
          <t xml:space="preserve">Issuance of Stock + (Repurchases) and OCI
</t>
        </r>
        <r>
          <rPr>
            <sz val="9"/>
            <color rgb="FF000000"/>
            <rFont val="Tahoma"/>
            <family val="2"/>
          </rPr>
          <t xml:space="preserve">
</t>
        </r>
      </text>
    </comment>
    <comment ref="D259" authorId="0" shapeId="0" xr:uid="{F0343768-0311-D548-9654-AA805C2D8B71}">
      <text>
        <r>
          <rPr>
            <b/>
            <sz val="9"/>
            <color rgb="FF000000"/>
            <rFont val="Tahoma"/>
            <family val="2"/>
          </rPr>
          <t>Bryce Hamlet:</t>
        </r>
        <r>
          <rPr>
            <sz val="9"/>
            <color rgb="FF000000"/>
            <rFont val="Tahoma"/>
            <family val="2"/>
          </rPr>
          <t xml:space="preserve">
</t>
        </r>
        <r>
          <rPr>
            <sz val="9"/>
            <color rgb="FF000000"/>
            <rFont val="Tahoma"/>
            <family val="2"/>
          </rPr>
          <t xml:space="preserve">Same as 2023, just include Vmware issuances of stock
</t>
        </r>
      </text>
    </comment>
    <comment ref="E259" authorId="0" shapeId="0" xr:uid="{FD49E5A7-01D9-4C4C-B4D3-99493D4E988E}">
      <text>
        <r>
          <rPr>
            <b/>
            <sz val="9"/>
            <color rgb="FF000000"/>
            <rFont val="Tahoma"/>
            <family val="2"/>
          </rPr>
          <t>Bryce Hamlet:</t>
        </r>
        <r>
          <rPr>
            <sz val="9"/>
            <color rgb="FF000000"/>
            <rFont val="Tahoma"/>
            <family val="2"/>
          </rPr>
          <t xml:space="preserve">
</t>
        </r>
        <r>
          <rPr>
            <sz val="9"/>
            <color rgb="FF000000"/>
            <rFont val="Tahoma"/>
            <family val="2"/>
          </rPr>
          <t xml:space="preserve">Same method as 2023
</t>
        </r>
      </text>
    </comment>
    <comment ref="D319" authorId="1" shapeId="0" xr:uid="{E5F9B405-F831-314C-A643-7F40A5ED97DF}">
      <text>
        <r>
          <rPr>
            <b/>
            <sz val="9"/>
            <color rgb="FF000000"/>
            <rFont val="Tahoma"/>
            <family val="2"/>
          </rPr>
          <t xml:space="preserve">Nick Ward:2025 10-k p1
</t>
        </r>
      </text>
    </comment>
    <comment ref="E319" authorId="1" shapeId="0" xr:uid="{9AEF3A2C-5F84-7E4C-B03B-9877C2063729}">
      <text>
        <r>
          <rPr>
            <b/>
            <sz val="9"/>
            <color rgb="FF000000"/>
            <rFont val="Tahoma"/>
            <family val="2"/>
          </rPr>
          <t xml:space="preserve">Nick Ward:2025 10-k p1
</t>
        </r>
      </text>
    </comment>
    <comment ref="B327" authorId="2" shapeId="0" xr:uid="{BB984E17-8C92-F84B-83A7-1B9FA964FE18}">
      <text>
        <r>
          <rPr>
            <b/>
            <sz val="10"/>
            <color rgb="FF000000"/>
            <rFont val="Tahoma"/>
            <family val="2"/>
          </rPr>
          <t>Stephen Moyer:</t>
        </r>
        <r>
          <rPr>
            <sz val="10"/>
            <color rgb="FF000000"/>
            <rFont val="Tahoma"/>
            <family val="2"/>
          </rPr>
          <t xml:space="preserve">
</t>
        </r>
        <r>
          <rPr>
            <sz val="14"/>
            <color rgb="FF000000"/>
            <rFont val="Tahoma"/>
            <family val="2"/>
          </rPr>
          <t>Calculate as EBITx(1-T%)/(Beg Debt+Beg Equity+Beg Net WC)</t>
        </r>
      </text>
    </comment>
    <comment ref="B332" authorId="2" shapeId="0" xr:uid="{229F3211-7B1E-104A-A60A-395E13A43823}">
      <text>
        <r>
          <rPr>
            <b/>
            <sz val="10"/>
            <color rgb="FF000000"/>
            <rFont val="Tahoma"/>
            <family val="2"/>
          </rPr>
          <t>Stephen Moyer:</t>
        </r>
        <r>
          <rPr>
            <sz val="10"/>
            <color rgb="FF000000"/>
            <rFont val="Tahoma"/>
            <family val="2"/>
          </rPr>
          <t xml:space="preserve">
</t>
        </r>
        <r>
          <rPr>
            <sz val="10"/>
            <color rgb="FF000000"/>
            <rFont val="Tahoma"/>
            <family val="2"/>
          </rPr>
          <t>For consistency use FD Shares in latest actual period for historical and forecast periods</t>
        </r>
      </text>
    </comment>
    <comment ref="E333" authorId="3" shapeId="0" xr:uid="{043E6E38-F376-154E-A850-0C7CF54317AE}">
      <text>
        <r>
          <rPr>
            <sz val="10"/>
            <color rgb="FF000000"/>
            <rFont val="Arial"/>
            <family val="2"/>
          </rPr>
          <t xml:space="preserve">Stephen Moyer:
</t>
        </r>
        <r>
          <rPr>
            <sz val="10"/>
            <color rgb="FF000000"/>
            <rFont val="Arial"/>
            <family val="2"/>
          </rPr>
          <t>Only this cell needs to be completed</t>
        </r>
      </text>
    </comment>
    <comment ref="B334" authorId="2" shapeId="0" xr:uid="{7E336B5E-1805-E545-8200-38CCD4AAB268}">
      <text>
        <r>
          <rPr>
            <b/>
            <sz val="10"/>
            <color rgb="FF000000"/>
            <rFont val="Tahoma"/>
            <family val="2"/>
          </rPr>
          <t>Stephen Moyer:</t>
        </r>
        <r>
          <rPr>
            <sz val="10"/>
            <color rgb="FF000000"/>
            <rFont val="Tahoma"/>
            <family val="2"/>
          </rPr>
          <t xml:space="preserve">
</t>
        </r>
        <r>
          <rPr>
            <sz val="10"/>
            <color rgb="FF000000"/>
            <rFont val="Tahoma"/>
            <family val="2"/>
          </rPr>
          <t xml:space="preserve">Repeats from the debt SS
</t>
        </r>
      </text>
    </comment>
    <comment ref="B335" authorId="2" shapeId="0" xr:uid="{C5FBE829-6656-9540-B849-18664E48F325}">
      <text>
        <r>
          <rPr>
            <b/>
            <sz val="10"/>
            <color rgb="FF000000"/>
            <rFont val="Tahoma"/>
            <family val="2"/>
          </rPr>
          <t>Stephen Moyer:</t>
        </r>
        <r>
          <rPr>
            <sz val="10"/>
            <color rgb="FF000000"/>
            <rFont val="Tahoma"/>
            <family val="2"/>
          </rPr>
          <t xml:space="preserve">
</t>
        </r>
        <r>
          <rPr>
            <sz val="10"/>
            <color rgb="FF000000"/>
            <rFont val="Tahoma"/>
            <family val="2"/>
          </rPr>
          <t>Repeats from the Debt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Stephen Moyer</author>
  </authors>
  <commentList>
    <comment ref="D32" authorId="0" shapeId="0" xr:uid="{E5BAD75B-39F0-C844-B24D-5676F1C70052}">
      <text>
        <r>
          <rPr>
            <b/>
            <sz val="10"/>
            <color rgb="FF000000"/>
            <rFont val="Tahoma"/>
            <family val="2"/>
          </rPr>
          <t>Stephen Moyer:</t>
        </r>
        <r>
          <rPr>
            <sz val="10"/>
            <color rgb="FF000000"/>
            <rFont val="Tahoma"/>
            <family val="2"/>
          </rPr>
          <t xml:space="preserve">
</t>
        </r>
        <r>
          <rPr>
            <sz val="10"/>
            <color rgb="FF000000"/>
            <rFont val="Tahoma"/>
            <family val="2"/>
          </rPr>
          <t>Or Spot 20Y T if &gt;</t>
        </r>
      </text>
    </comment>
    <comment ref="D33" authorId="0" shapeId="0" xr:uid="{49F01B61-3867-EC46-BA32-DA879405BEFD}">
      <text>
        <r>
          <rPr>
            <b/>
            <sz val="10"/>
            <color rgb="FF000000"/>
            <rFont val="Tahoma"/>
            <family val="2"/>
          </rPr>
          <t>Stephen Moyer:</t>
        </r>
        <r>
          <rPr>
            <sz val="10"/>
            <color rgb="FF000000"/>
            <rFont val="Tahoma"/>
            <family val="2"/>
          </rPr>
          <t xml:space="preserve">
</t>
        </r>
        <r>
          <rPr>
            <sz val="10"/>
            <color rgb="FF000000"/>
            <rFont val="Tahoma"/>
            <family val="2"/>
          </rPr>
          <t>Or Spot 20Y T if &gt;</t>
        </r>
      </text>
    </comment>
  </commentList>
</comments>
</file>

<file path=xl/sharedStrings.xml><?xml version="1.0" encoding="utf-8"?>
<sst xmlns="http://schemas.openxmlformats.org/spreadsheetml/2006/main" count="971" uniqueCount="545">
  <si>
    <t>2023: Financial Year that ends in October 29, 2023</t>
  </si>
  <si>
    <t>Rubric should be left in this relative position for the convenience of the model scorer.</t>
  </si>
  <si>
    <t>After lines are added to the model, this needs to be reformatted.</t>
  </si>
  <si>
    <t>Income Statement (IS)</t>
  </si>
  <si>
    <t>2023A</t>
  </si>
  <si>
    <t>2024A</t>
  </si>
  <si>
    <t>2025A</t>
  </si>
  <si>
    <t>2026P</t>
  </si>
  <si>
    <t>2027P</t>
  </si>
  <si>
    <t>2028P</t>
  </si>
  <si>
    <t xml:space="preserve">2029P </t>
  </si>
  <si>
    <t>2030P</t>
  </si>
  <si>
    <t>2031P</t>
  </si>
  <si>
    <t>2032P</t>
  </si>
  <si>
    <t xml:space="preserve">2033P </t>
  </si>
  <si>
    <t>2034P</t>
  </si>
  <si>
    <t>2035P</t>
  </si>
  <si>
    <t>Scorer Comments</t>
  </si>
  <si>
    <t>Completed by Student</t>
  </si>
  <si>
    <t>Products Revenue</t>
  </si>
  <si>
    <t>Student Name</t>
  </si>
  <si>
    <t>Cotter Walsh</t>
  </si>
  <si>
    <t>Products COGS</t>
  </si>
  <si>
    <t>Products Gross Margin</t>
  </si>
  <si>
    <t>Bryce Hamlet</t>
  </si>
  <si>
    <t>Kevin Jin</t>
  </si>
  <si>
    <t>Subscriptions and Services Revenue</t>
  </si>
  <si>
    <t>Company Name</t>
  </si>
  <si>
    <t>Broadcom</t>
  </si>
  <si>
    <t>Subscriptions and Services COGS</t>
  </si>
  <si>
    <t>Company TKR</t>
  </si>
  <si>
    <t>AVGO</t>
  </si>
  <si>
    <t>Subscription and Service Gross Margin</t>
  </si>
  <si>
    <t>Total Revenue</t>
  </si>
  <si>
    <t>Total COGS</t>
  </si>
  <si>
    <t>Item</t>
  </si>
  <si>
    <t>Deliverable details*</t>
  </si>
  <si>
    <t>Points Possible</t>
  </si>
  <si>
    <t>Total Gross Profit</t>
  </si>
  <si>
    <t xml:space="preserve">R&amp;D </t>
  </si>
  <si>
    <t>SG&amp;A</t>
  </si>
  <si>
    <t>Lease Exp</t>
  </si>
  <si>
    <t>Stock Comp</t>
  </si>
  <si>
    <t>EBITDA</t>
  </si>
  <si>
    <t>IS  assumptions use key drivers of Target performance</t>
  </si>
  <si>
    <t>Total D&amp;A</t>
  </si>
  <si>
    <t>OL Lease Expense properly added to IS</t>
  </si>
  <si>
    <t>EBIT/Operating Income</t>
  </si>
  <si>
    <t>Stock Comp Expense properly added</t>
  </si>
  <si>
    <t>Int Exp</t>
  </si>
  <si>
    <t>3-Statement Projection Model</t>
  </si>
  <si>
    <t>D&amp;A properly added to IS</t>
  </si>
  <si>
    <t>Int Inc</t>
  </si>
  <si>
    <t>Other Inc/(Exp)</t>
  </si>
  <si>
    <t>Projection Model</t>
  </si>
  <si>
    <t xml:space="preserve">WC SS uses DSO/DIH/DPO and Rev% methodology. </t>
  </si>
  <si>
    <t>EBT</t>
  </si>
  <si>
    <t>Mkt Sec and Int Inc properly modeled</t>
  </si>
  <si>
    <t>Provision for (Benefit from) Income Taxes</t>
  </si>
  <si>
    <t>Intangible assets properly modeled</t>
  </si>
  <si>
    <t>Income from Continuing Operations</t>
  </si>
  <si>
    <t>ROU/OL Liab properly calculated</t>
  </si>
  <si>
    <t>Loss from Discontinued Operations, Net of Income Taxes</t>
  </si>
  <si>
    <t>PP&amp;E SS  properly structured</t>
  </si>
  <si>
    <t>Net Income</t>
  </si>
  <si>
    <t>Debt SS  appropriately stuctured, Issue/paydown approp</t>
  </si>
  <si>
    <t>OE SS shows dividends and share repurchase</t>
  </si>
  <si>
    <t>Projection Assumptions</t>
  </si>
  <si>
    <t>Products Rev Growth %</t>
  </si>
  <si>
    <t>Relative Valuation</t>
  </si>
  <si>
    <t>At least five (5) comparable companies identified and evaluated</t>
  </si>
  <si>
    <t>Subscriptions and Services Rev Growth %</t>
  </si>
  <si>
    <t>Approach</t>
  </si>
  <si>
    <t>Correct data for benchmarking provided; calculations shown.</t>
  </si>
  <si>
    <t>Products GM %</t>
  </si>
  <si>
    <t>DuPont of comps completed correctly</t>
  </si>
  <si>
    <t>Subscriptions and Services GM%</t>
  </si>
  <si>
    <t>"Best" three comps  rationale  thoughtful</t>
  </si>
  <si>
    <t>Total Stock Comp Exp % (of Revenue)</t>
  </si>
  <si>
    <t>Metrics thoughtfully applied to T data &amp;  share px  calc'd</t>
  </si>
  <si>
    <t>R&amp;D Expense %</t>
  </si>
  <si>
    <t>Total R&amp;D</t>
  </si>
  <si>
    <t>Capitalized R&amp;D</t>
  </si>
  <si>
    <t>IS R&amp;D</t>
  </si>
  <si>
    <t>SG&amp;A %</t>
  </si>
  <si>
    <t>ULF$F projection correctly calculated.</t>
  </si>
  <si>
    <t>Other Inc/(Exp) % of Revenue</t>
  </si>
  <si>
    <t>Loss from Discontinued Operations, Net of Income Taxes %</t>
  </si>
  <si>
    <t>Kd properly calculated</t>
  </si>
  <si>
    <t>Taxes %</t>
  </si>
  <si>
    <t>Ke properly calculated with provided assumptions</t>
  </si>
  <si>
    <t xml:space="preserve">     Valuation</t>
  </si>
  <si>
    <t>WACC correctly calculated</t>
  </si>
  <si>
    <t>Netting out of Income Statement</t>
  </si>
  <si>
    <t>TV-EMM estimated with clear assumptions</t>
  </si>
  <si>
    <t>Products COGS 10K Value</t>
  </si>
  <si>
    <t>TV-PGM estimated with clear assumptions</t>
  </si>
  <si>
    <t>Stock Compensation Net Out</t>
  </si>
  <si>
    <t>Correct per share values calculated for both EMM&amp;PGM approach</t>
  </si>
  <si>
    <t>Net Products COGS</t>
  </si>
  <si>
    <t>Subscriptions and Services COGS 10K Value</t>
  </si>
  <si>
    <t>Financial Metric analysis section completed correctly</t>
  </si>
  <si>
    <t xml:space="preserve">   Data Analysis</t>
  </si>
  <si>
    <t>Analysis of metrics across projection thoughtful</t>
  </si>
  <si>
    <t>Net Subscriptions and Services COGS</t>
  </si>
  <si>
    <t>Analysis  projected  v market px thoughtful</t>
  </si>
  <si>
    <t>R&amp;D 10K Value</t>
  </si>
  <si>
    <t>Depreciation Net Out</t>
  </si>
  <si>
    <t>Net R&amp;D</t>
  </si>
  <si>
    <t>SG&amp;A 10K Value</t>
  </si>
  <si>
    <t>Lease Expense Net Out</t>
  </si>
  <si>
    <t>Amortization of ROU Net Out</t>
  </si>
  <si>
    <t>Net SG&amp;A Value</t>
  </si>
  <si>
    <t>Other Inc/(Exp) 10K Value</t>
  </si>
  <si>
    <t>Interest Income Net Out</t>
  </si>
  <si>
    <t>Restructuing and Other Charges Add In</t>
  </si>
  <si>
    <t>Net Other Inc/(Exp)</t>
  </si>
  <si>
    <t>Loss from Discontinued Operations, Net of Income Taxes 10K Value</t>
  </si>
  <si>
    <t>Stock-Based Compensation related to Discontinued Operations (Added to $FS SBC, Not IS)</t>
  </si>
  <si>
    <t>Net Loss from Discontinued Operations, Net of Income Taxes</t>
  </si>
  <si>
    <t>Total Stock Compensation</t>
  </si>
  <si>
    <t>Amortization of acquisition-related intangible assets (Rev) 10K</t>
  </si>
  <si>
    <t>Amortization of acquisition-related intangible assets (Oper)</t>
  </si>
  <si>
    <t>Balance Sheet</t>
  </si>
  <si>
    <r>
      <rPr>
        <sz val="12"/>
        <color theme="1"/>
        <rFont val="Calibri"/>
        <family val="2"/>
        <scheme val="minor"/>
      </rPr>
      <t>Cash</t>
    </r>
  </si>
  <si>
    <t>Marketable Securities</t>
  </si>
  <si>
    <t>AR</t>
  </si>
  <si>
    <t>Inventory</t>
  </si>
  <si>
    <t>Other Current</t>
  </si>
  <si>
    <t>Total CA</t>
  </si>
  <si>
    <t xml:space="preserve">Total </t>
  </si>
  <si>
    <t>Model Possible Points</t>
  </si>
  <si>
    <t>Intangible Assets, net</t>
  </si>
  <si>
    <t>Oper Lease ROU Asset</t>
  </si>
  <si>
    <t>Net PP&amp;E</t>
  </si>
  <si>
    <t>Model submitted  late (Add -1 each extra day)</t>
  </si>
  <si>
    <t>Goodwill</t>
  </si>
  <si>
    <t xml:space="preserve">Other </t>
  </si>
  <si>
    <t>BS doesn't balance with chg assumption--hidden</t>
  </si>
  <si>
    <t>Other LT Assets</t>
  </si>
  <si>
    <t>BS doesn't balance with chg assumption--shown</t>
  </si>
  <si>
    <t>Total Assets</t>
  </si>
  <si>
    <t>Considerations</t>
  </si>
  <si>
    <t>BS historical totals don't tie to GAAP</t>
  </si>
  <si>
    <t>All BS values with SS read in from SS</t>
  </si>
  <si>
    <t>AP</t>
  </si>
  <si>
    <t>Order of SS do not mirror BS presentation</t>
  </si>
  <si>
    <t>Employee Comp</t>
  </si>
  <si>
    <t>Model does not conform to Resla format</t>
  </si>
  <si>
    <t>Other CL</t>
  </si>
  <si>
    <t xml:space="preserve">Model not organized vertically on one page </t>
  </si>
  <si>
    <t>Total CL</t>
  </si>
  <si>
    <t>Numbers not formatted to be concise and aide readability</t>
  </si>
  <si>
    <t>Operating Lease Liability</t>
  </si>
  <si>
    <t>Other LT Liab</t>
  </si>
  <si>
    <t>Numbers in projection reasonable/sanity checked</t>
  </si>
  <si>
    <t>Total Debt (Combin ST &amp; LT)</t>
  </si>
  <si>
    <t>Rubric not next to 3S and/or not reconstructed</t>
  </si>
  <si>
    <t>Total Liab</t>
  </si>
  <si>
    <t>Assumptions burried in calculation cells</t>
  </si>
  <si>
    <t>Owners Equity--CS</t>
  </si>
  <si>
    <t>Provided Ke assumptions not used</t>
  </si>
  <si>
    <t>Total Liab &amp; Equity</t>
  </si>
  <si>
    <t>Net debt calculated incorrectly</t>
  </si>
  <si>
    <t>Check Balance</t>
  </si>
  <si>
    <t>Other (situation specific issue--deduction TBD)</t>
  </si>
  <si>
    <t>$F Statement</t>
  </si>
  <si>
    <t>Model has cirucular references</t>
  </si>
  <si>
    <t>Team members not listed at top of projection</t>
  </si>
  <si>
    <t>D&amp;A</t>
  </si>
  <si>
    <t>Team member didn't make appropriate contibution to Project</t>
  </si>
  <si>
    <t>Stock-Based Compensation</t>
  </si>
  <si>
    <t>Adjusted Score</t>
  </si>
  <si>
    <t>Changes in Assets and Liabilitites, net of acquistions and disposals:</t>
  </si>
  <si>
    <t>Changes Trade Accounts Receivable, net</t>
  </si>
  <si>
    <t>Changes in Inventory</t>
  </si>
  <si>
    <t>Changes in Accounts Payable</t>
  </si>
  <si>
    <t>Changes in Employee Compensation and Benefits</t>
  </si>
  <si>
    <t>Changes in Other Current Assets and Current Liabilities</t>
  </si>
  <si>
    <t xml:space="preserve">Changes in Other Long-Term Assets and Long-Term Liabilities </t>
  </si>
  <si>
    <t>Cash Flows from Operating Activities</t>
  </si>
  <si>
    <t>Acquisitions of Businesses, Net of Cash Acquired</t>
  </si>
  <si>
    <t>Proceeds from Sales of Businesses</t>
  </si>
  <si>
    <t>Purchases of PP&amp;E</t>
  </si>
  <si>
    <t>$S Allocations of Stock-Based Compensation (Historical)</t>
  </si>
  <si>
    <t>R&amp;D Capitalized</t>
  </si>
  <si>
    <t>Stock Based Compensation IS</t>
  </si>
  <si>
    <t>Cash Flows from Investing Activities</t>
  </si>
  <si>
    <t>Stock Based Compensation Related to Discounted Operations</t>
  </si>
  <si>
    <t>Change in Marketable Securties</t>
  </si>
  <si>
    <t>Stock Based Compensation $F</t>
  </si>
  <si>
    <t>Cash Flows from Financing Activities</t>
  </si>
  <si>
    <t>Cash BOP</t>
  </si>
  <si>
    <t>Cash EOP</t>
  </si>
  <si>
    <t>Subsidiary Schedules (SS)</t>
  </si>
  <si>
    <t>Mkt Sec -- BOP</t>
  </si>
  <si>
    <t>Chg in Period</t>
  </si>
  <si>
    <t>Mkt Sec -- EOP</t>
  </si>
  <si>
    <t>Min Cash Target (Cash BOP)</t>
  </si>
  <si>
    <t>Free Cashflow -- $F Ops-Inv-Fin</t>
  </si>
  <si>
    <t>Interest Income</t>
  </si>
  <si>
    <t>Interest Income Rate</t>
  </si>
  <si>
    <t>Change in WC</t>
  </si>
  <si>
    <t>BS Allocations of Working Capital related to A&amp;L</t>
  </si>
  <si>
    <t>Accounts Receivable</t>
  </si>
  <si>
    <t>Other Current Liabilities (10K Value)</t>
  </si>
  <si>
    <t>Other Current Assets</t>
  </si>
  <si>
    <t>Net Out Short-term Lease Liabilities</t>
  </si>
  <si>
    <t>Accounts Payable</t>
  </si>
  <si>
    <t>Net Other Current Liabilities</t>
  </si>
  <si>
    <t>Employee Compensation and Benefits</t>
  </si>
  <si>
    <t>Other Current Liabilities</t>
  </si>
  <si>
    <t>Net WC</t>
  </si>
  <si>
    <t>Change in NWC</t>
  </si>
  <si>
    <t>AR--DRO</t>
  </si>
  <si>
    <t>Inv--DIH</t>
  </si>
  <si>
    <t>Other Current Assets (% of Revenue)</t>
  </si>
  <si>
    <t>AP--DPO</t>
  </si>
  <si>
    <t>Employee Compensation and Benefits (% of Revenue)</t>
  </si>
  <si>
    <t>Other Current Liabilities (% of Revenue)</t>
  </si>
  <si>
    <t>Intangible Assets</t>
  </si>
  <si>
    <t>Intangibles BOP</t>
  </si>
  <si>
    <t>Additions from R&amp;D</t>
  </si>
  <si>
    <t>Amortization of Additions</t>
  </si>
  <si>
    <t>Amortization of Existing Intangibles as of 11/3/25</t>
  </si>
  <si>
    <t>Intangibles EOP</t>
  </si>
  <si>
    <t>% R&amp;D Capitalized</t>
  </si>
  <si>
    <t>Intang Amort Rate</t>
  </si>
  <si>
    <t>Cumulative Additions</t>
  </si>
  <si>
    <t>Operating Leases</t>
  </si>
  <si>
    <t>ROU-BOP</t>
  </si>
  <si>
    <t>Lease Exp/ROU Amort (Level Lease-Int)</t>
  </si>
  <si>
    <t>New ROU</t>
  </si>
  <si>
    <t>ROU-EOP</t>
  </si>
  <si>
    <t>Consistency Check</t>
  </si>
  <si>
    <t>LeaseLiab-BOP</t>
  </si>
  <si>
    <t>Lease Amort ($ pmt-Int)</t>
  </si>
  <si>
    <t>New Lease Liab</t>
  </si>
  <si>
    <t>LeaseLiab-EOP</t>
  </si>
  <si>
    <t>Lease Payment</t>
  </si>
  <si>
    <t>Lease Interest</t>
  </si>
  <si>
    <t>Lease Payment/BOP</t>
  </si>
  <si>
    <t>Lease Interest %</t>
  </si>
  <si>
    <t>PP&amp;E</t>
  </si>
  <si>
    <t>PP&amp;E Beg</t>
  </si>
  <si>
    <t>Growth CapEx</t>
  </si>
  <si>
    <t>Maint CapEx</t>
  </si>
  <si>
    <t>Total Capex</t>
  </si>
  <si>
    <t>(-) Depreciation</t>
  </si>
  <si>
    <t>PP&amp;E End</t>
  </si>
  <si>
    <t>CapEx Rate (% Rev)</t>
  </si>
  <si>
    <t>Depreciation Rate %</t>
  </si>
  <si>
    <t>Goodwill Amortization Schedule</t>
  </si>
  <si>
    <t>Goodwill BOP</t>
  </si>
  <si>
    <t>Acquisition of Vmware</t>
  </si>
  <si>
    <t>Acquistion of Seagate's SoC Operations</t>
  </si>
  <si>
    <t>Other Acquisitions</t>
  </si>
  <si>
    <t>Sales of Businesses</t>
  </si>
  <si>
    <t>Goodwill Impairment (Amortization)</t>
  </si>
  <si>
    <t>Goodwill EOP</t>
  </si>
  <si>
    <t>Other Long-Term Items Schedule</t>
  </si>
  <si>
    <t>Other LT Assets BOP</t>
  </si>
  <si>
    <t>Additions</t>
  </si>
  <si>
    <t>Reductions</t>
  </si>
  <si>
    <t>Other LT Assets EOP</t>
  </si>
  <si>
    <t>Changes in LT Assets</t>
  </si>
  <si>
    <t>Other LT Liabilities BOP</t>
  </si>
  <si>
    <t>Net Out LT Lease Liability (Historical Only)</t>
  </si>
  <si>
    <t>Other LT Liabilities EOP</t>
  </si>
  <si>
    <t>Changes in LT Liabilities</t>
  </si>
  <si>
    <t>DEBT STRUCTURE</t>
  </si>
  <si>
    <t>Unsecured Commercial Paper Notes - BOP</t>
  </si>
  <si>
    <t>New Issuances /  (Paydown at Maturity)</t>
  </si>
  <si>
    <t>Unsecured Commercial Paper Notes - EOP</t>
  </si>
  <si>
    <t>Borrowing Base</t>
  </si>
  <si>
    <t>Unsecured Commercial Paper Notes Interest Expense</t>
  </si>
  <si>
    <t>Unsecured Commercial Paper Notes Interest Rate</t>
  </si>
  <si>
    <t>Revolver - BOP</t>
  </si>
  <si>
    <t>Draw/(Paydown)</t>
  </si>
  <si>
    <t xml:space="preserve">Revolver - EOP </t>
  </si>
  <si>
    <t>Max Amount</t>
  </si>
  <si>
    <t>Rate % (SOFR + 1%)</t>
  </si>
  <si>
    <t>Term Loan - BOP</t>
  </si>
  <si>
    <t>New Issuance</t>
  </si>
  <si>
    <t>Repayments</t>
  </si>
  <si>
    <t>Term Loan - EOP</t>
  </si>
  <si>
    <t>Interest</t>
  </si>
  <si>
    <t>Average Rate %</t>
  </si>
  <si>
    <t>Senior Notes - BOP</t>
  </si>
  <si>
    <t>Vmware Assumption</t>
  </si>
  <si>
    <t>Maturities</t>
  </si>
  <si>
    <t>Optional Repayments</t>
  </si>
  <si>
    <t>Senior Notes - EOP</t>
  </si>
  <si>
    <t xml:space="preserve">Interest </t>
  </si>
  <si>
    <t>Rate %</t>
  </si>
  <si>
    <t>Total Interest</t>
  </si>
  <si>
    <t>Total Debt</t>
  </si>
  <si>
    <t>EBITDA/Int</t>
  </si>
  <si>
    <t>EBITDAR/(Int Exp + Lease Int)</t>
  </si>
  <si>
    <t>EBITDAR/(Int Exp + Lease Exp)</t>
  </si>
  <si>
    <t>Debt/EBITDA</t>
  </si>
  <si>
    <t>Debt + OL/EBITDAR</t>
  </si>
  <si>
    <t>Owners Equity</t>
  </si>
  <si>
    <t>Beginning Balance</t>
  </si>
  <si>
    <t>New Equity/(Buybacks)</t>
  </si>
  <si>
    <t>Dividends Paid-CS</t>
  </si>
  <si>
    <t>Ending Balance</t>
  </si>
  <si>
    <t>Ending $</t>
  </si>
  <si>
    <t>Ending Mkt Sec</t>
  </si>
  <si>
    <t>Cash from Ops-Capex</t>
  </si>
  <si>
    <t>Dividends/Net Income</t>
  </si>
  <si>
    <t>Valuation</t>
  </si>
  <si>
    <t>Financial Metric Analysis</t>
  </si>
  <si>
    <t>EBITDA %</t>
  </si>
  <si>
    <t>ROIC</t>
  </si>
  <si>
    <t>ROE</t>
  </si>
  <si>
    <t>NI/Sales</t>
  </si>
  <si>
    <t>Sales/Assets</t>
  </si>
  <si>
    <t>Assets/Equity</t>
  </si>
  <si>
    <t>EPS</t>
  </si>
  <si>
    <t>Projected Share Price</t>
  </si>
  <si>
    <t>Interest Coverage Ratio</t>
  </si>
  <si>
    <t>Debt Leverage Ratio</t>
  </si>
  <si>
    <t>DuPont Analysis</t>
  </si>
  <si>
    <t>Name</t>
  </si>
  <si>
    <t>Biz Description</t>
  </si>
  <si>
    <t>TEV</t>
  </si>
  <si>
    <t>Mkt Cap</t>
  </si>
  <si>
    <t>LFY Funded Debt</t>
  </si>
  <si>
    <t>LFY   Lease Liab</t>
  </si>
  <si>
    <t>LFY   Cash</t>
  </si>
  <si>
    <t>LFY Sales</t>
  </si>
  <si>
    <t>LFY-1        Sales</t>
  </si>
  <si>
    <t>YoY Rev Gr%</t>
  </si>
  <si>
    <t>LFY EBITDA</t>
  </si>
  <si>
    <t>LFY-1 EBITDA</t>
  </si>
  <si>
    <t>LFY EBITDA%</t>
  </si>
  <si>
    <t>LFY EBIT</t>
  </si>
  <si>
    <t>LFY EBITDAR</t>
  </si>
  <si>
    <t>LFY NI</t>
  </si>
  <si>
    <t>NI %</t>
  </si>
  <si>
    <t>LFY Tot Assets</t>
  </si>
  <si>
    <t>LFY Cash &amp; Equiv</t>
  </si>
  <si>
    <t>LFY Beg Eq</t>
  </si>
  <si>
    <t>ROA</t>
  </si>
  <si>
    <t>Debt/     EBITDA</t>
  </si>
  <si>
    <t>Stk Px*</t>
  </si>
  <si>
    <t>LFY FD Shares</t>
  </si>
  <si>
    <t>P/E</t>
  </si>
  <si>
    <t>P/B</t>
  </si>
  <si>
    <t>Debt/    Tot Cap</t>
  </si>
  <si>
    <t>Debt/    BV Equity</t>
  </si>
  <si>
    <t>NI/      Sales</t>
  </si>
  <si>
    <t>Sales/   Assets</t>
  </si>
  <si>
    <t>Assets/    Equity</t>
  </si>
  <si>
    <t>Check ROE</t>
  </si>
  <si>
    <t>AMD</t>
  </si>
  <si>
    <t>Fabless semiconductor (CPUs, GPUs, data center accelerators, embedded)</t>
  </si>
  <si>
    <t>Marvell Technology</t>
  </si>
  <si>
    <t>Data infrastructure semiconductors (networking, storage, custom AI)</t>
  </si>
  <si>
    <t>Nvidia</t>
  </si>
  <si>
    <t>GPU/AI accelerators, data center, gaming, automotive</t>
  </si>
  <si>
    <t>Qualcomm</t>
  </si>
  <si>
    <t>Wireless technology &amp; licensing (5G chipsets, modems, licensing IP)</t>
  </si>
  <si>
    <t>Intel</t>
  </si>
  <si>
    <t>IDM semiconductor (CPUs, foundry services, programmable, networking)</t>
  </si>
  <si>
    <t>Peer Avg</t>
  </si>
  <si>
    <t>Peer Median</t>
  </si>
  <si>
    <t>Comp Set of 3 most comparable companies</t>
  </si>
  <si>
    <t>YoY           Rev Gr%</t>
  </si>
  <si>
    <t>LFY    EBITDA</t>
  </si>
  <si>
    <t>EBITDA%</t>
  </si>
  <si>
    <t>EV/         Sales</t>
  </si>
  <si>
    <t>EV/ EBIT</t>
  </si>
  <si>
    <t>EV/       EBITDA</t>
  </si>
  <si>
    <t>EV/       EBITDAR</t>
  </si>
  <si>
    <t>Net Debt</t>
  </si>
  <si>
    <t>Debt/  EBITDA</t>
  </si>
  <si>
    <t>Debt+OL/  EBITDAR</t>
  </si>
  <si>
    <t xml:space="preserve">Size Premia by Market Capitalization </t>
  </si>
  <si>
    <t>Equity Market Cap ($MM)</t>
  </si>
  <si>
    <t>Decile</t>
  </si>
  <si>
    <t>Low End</t>
  </si>
  <si>
    <t>High End</t>
  </si>
  <si>
    <t>Size Premium</t>
  </si>
  <si>
    <t>10a</t>
  </si>
  <si>
    <t>10b</t>
  </si>
  <si>
    <t>10c</t>
  </si>
  <si>
    <t>10d</t>
  </si>
  <si>
    <t>Source:  Duff &amp; Phelps (2021)</t>
  </si>
  <si>
    <t>Date</t>
  </si>
  <si>
    <t>Rf%*</t>
  </si>
  <si>
    <t>ERP%</t>
  </si>
  <si>
    <t>Source:  Kroll (8/6/24)</t>
  </si>
  <si>
    <t>*Normalized  UST</t>
  </si>
  <si>
    <t>IS  assumptions reflect forecast/story outlook</t>
  </si>
  <si>
    <t>Projection's "story" clearly articulated</t>
  </si>
  <si>
    <t>Projection = Market done correctly</t>
  </si>
  <si>
    <t>Assumptions not color coded red</t>
  </si>
  <si>
    <t>Comp data improperly calculated</t>
  </si>
  <si>
    <t>Add back Lease Int</t>
  </si>
  <si>
    <t>Adj EBIT</t>
  </si>
  <si>
    <t>Unlevered Free $F</t>
  </si>
  <si>
    <t>Sum of PV</t>
  </si>
  <si>
    <t>WACC Calculation</t>
  </si>
  <si>
    <t>EMM TV Mult</t>
  </si>
  <si>
    <t>Weight</t>
  </si>
  <si>
    <t>Cost</t>
  </si>
  <si>
    <t>Comp EV/EBITDA</t>
  </si>
  <si>
    <t>Debt</t>
  </si>
  <si>
    <t>Priv Co Discount</t>
  </si>
  <si>
    <t>Adj EV/EBITDA</t>
  </si>
  <si>
    <t>WACC</t>
  </si>
  <si>
    <t>TV EBITDA</t>
  </si>
  <si>
    <t>Cost of Debt</t>
  </si>
  <si>
    <t>Terminal Value</t>
  </si>
  <si>
    <t>Interest Exp</t>
  </si>
  <si>
    <t>PV of TV</t>
  </si>
  <si>
    <t>Funded Debt</t>
  </si>
  <si>
    <t>Est Cost of Debt</t>
  </si>
  <si>
    <t>PGM TV</t>
  </si>
  <si>
    <t>Kd Tax Effected</t>
  </si>
  <si>
    <t>Term Y UF$F</t>
  </si>
  <si>
    <t>Oper Lease Liab</t>
  </si>
  <si>
    <t>Growth %</t>
  </si>
  <si>
    <t>Tax Effected</t>
  </si>
  <si>
    <t>Total Debt (Funded + Op L)</t>
  </si>
  <si>
    <t>WA Kd</t>
  </si>
  <si>
    <t>Equity Amount</t>
  </si>
  <si>
    <t>Cost of Equity</t>
  </si>
  <si>
    <t>EV/EBITDA mult</t>
  </si>
  <si>
    <t>EV</t>
  </si>
  <si>
    <t>Rf %</t>
  </si>
  <si>
    <t>Equity Value</t>
  </si>
  <si>
    <t>Equity Mkt Premium</t>
  </si>
  <si>
    <t>Beta =</t>
  </si>
  <si>
    <t>CAPM Cost of Equity</t>
  </si>
  <si>
    <t>Adjusted Ke</t>
  </si>
  <si>
    <t>EMM</t>
  </si>
  <si>
    <t>PGM</t>
  </si>
  <si>
    <t>PV Projection $F</t>
  </si>
  <si>
    <t>PV-TV</t>
  </si>
  <si>
    <t>Enterprise Value</t>
  </si>
  <si>
    <t>Net Debt*</t>
  </si>
  <si>
    <t>Per Share Value</t>
  </si>
  <si>
    <t>Total Chg Cash</t>
  </si>
  <si>
    <t>Chg In Cash</t>
  </si>
  <si>
    <t xml:space="preserve"> </t>
  </si>
  <si>
    <t>Oper INC / EBIT</t>
  </si>
  <si>
    <t>Taxes @21%</t>
  </si>
  <si>
    <t>NOPAT / EBIAT</t>
  </si>
  <si>
    <t>Add Back -- D&amp;A</t>
  </si>
  <si>
    <t>Subtract -- CapEx</t>
  </si>
  <si>
    <t>Adjust -- Net chg WC</t>
  </si>
  <si>
    <t>Year</t>
  </si>
  <si>
    <t>Discount Factor                                                                                                            WACC</t>
  </si>
  <si>
    <t>AMT</t>
  </si>
  <si>
    <t>Equity</t>
  </si>
  <si>
    <t>LT Returns to Stk Mkt</t>
  </si>
  <si>
    <t>Shares Outstanding</t>
  </si>
  <si>
    <t>TV (TY $Fx(1+g))/(R-G)</t>
  </si>
  <si>
    <t>Less Net Debt</t>
  </si>
  <si>
    <t>Average</t>
  </si>
  <si>
    <t>PrivCo Disc</t>
  </si>
  <si>
    <t>Implied TEV</t>
  </si>
  <si>
    <t>Est Equity Value</t>
  </si>
  <si>
    <t>Implied Share Px</t>
  </si>
  <si>
    <t>AVGO 2025</t>
  </si>
  <si>
    <t>2025 EBITDA</t>
  </si>
  <si>
    <t>Other Operating Activities (Only for Historical)</t>
  </si>
  <si>
    <t>Other Investing Activities (Only for Historical)</t>
  </si>
  <si>
    <t>EV/REV</t>
  </si>
  <si>
    <t>EV/EBITDA</t>
  </si>
  <si>
    <t>Qualcomm (QCOM)</t>
  </si>
  <si>
    <t>NVIDIA (NVDA)</t>
  </si>
  <si>
    <t>AMC (AMC)</t>
  </si>
  <si>
    <t>Goodwill Impairment</t>
  </si>
  <si>
    <t>Net Out ROU Asset (Historical Only)</t>
  </si>
  <si>
    <t>Nicholas Ward</t>
  </si>
  <si>
    <t>Current Share Price (as of 2/6/2026)</t>
  </si>
  <si>
    <r>
      <rPr>
        <sz val="13"/>
        <color theme="1"/>
        <rFont val="Calibri"/>
        <family val="2"/>
        <scheme val="minor"/>
      </rPr>
      <t>Cash</t>
    </r>
  </si>
  <si>
    <t xml:space="preserve">  Total Liab</t>
  </si>
  <si>
    <t xml:space="preserve">  Total Liab &amp; Equity</t>
  </si>
  <si>
    <t xml:space="preserve">  Total Assets</t>
  </si>
  <si>
    <t xml:space="preserve">  Total CA</t>
  </si>
  <si>
    <t>WACC =</t>
  </si>
  <si>
    <t>Method</t>
  </si>
  <si>
    <t>EV / EBITDA</t>
  </si>
  <si>
    <t>EV / Revenue</t>
  </si>
  <si>
    <t>Projected Share Price =</t>
  </si>
  <si>
    <t xml:space="preserve">    Comp Multiplers</t>
  </si>
  <si>
    <t>Comp Universe - 5 comparable Companies</t>
  </si>
  <si>
    <t>Weight EV/REV</t>
  </si>
  <si>
    <t>Methodology</t>
  </si>
  <si>
    <t>Implied Value</t>
  </si>
  <si>
    <t>vs. Current</t>
  </si>
  <si>
    <t>EV/EBITDA Comps</t>
  </si>
  <si>
    <t>EV/Revenue Comps</t>
  </si>
  <si>
    <t>Blended Target Price</t>
  </si>
  <si>
    <t>Segment</t>
  </si>
  <si>
    <t>FY2023A</t>
  </si>
  <si>
    <t>FY2024A</t>
  </si>
  <si>
    <t>FY2025A</t>
  </si>
  <si>
    <t>% of Rev (FY25)</t>
  </si>
  <si>
    <t>Semiconductor Solutions</t>
  </si>
  <si>
    <t>$28.9B</t>
  </si>
  <si>
    <t>$35.0B</t>
  </si>
  <si>
    <t>$44.8B</t>
  </si>
  <si>
    <t>Infrastructure Software</t>
  </si>
  <si>
    <t>$6.9B</t>
  </si>
  <si>
    <t>$16.6B</t>
  </si>
  <si>
    <t>$19.0B</t>
  </si>
  <si>
    <t>$35.8B</t>
  </si>
  <si>
    <t>$51.6B</t>
  </si>
  <si>
    <t>$63.9B</t>
  </si>
  <si>
    <t>Metric</t>
  </si>
  <si>
    <t>FY2026P</t>
  </si>
  <si>
    <t>Software Gross Margin</t>
  </si>
  <si>
    <t>Total Gross Margin</t>
  </si>
  <si>
    <t>EBITDA Margin</t>
  </si>
  <si>
    <t>Net Income Margin</t>
  </si>
  <si>
    <t>Revenue ($B)</t>
  </si>
  <si>
    <t>EBITDA ($B)</t>
  </si>
  <si>
    <t>Net Income ($B)</t>
  </si>
  <si>
    <t>Total Debt ($B)</t>
  </si>
  <si>
    <t>Gross Profit ($B)</t>
  </si>
  <si>
    <t>Gross Margin</t>
  </si>
  <si>
    <t>Oper. Cash Flow ($B)</t>
  </si>
  <si>
    <t>CapEx ($M)</t>
  </si>
  <si>
    <t>Metrics</t>
  </si>
  <si>
    <t>Stock Price</t>
  </si>
  <si>
    <t>2029P</t>
  </si>
  <si>
    <t>Products Revenue ($B)</t>
  </si>
  <si>
    <t>Software Revenue ($B)</t>
  </si>
  <si>
    <t>Debt / EBITDA (x)</t>
  </si>
  <si>
    <t>Revenue</t>
  </si>
  <si>
    <t>Exit Multiple Method (EMM)</t>
  </si>
  <si>
    <t>Perpetuity Growth Method (PGM)</t>
  </si>
  <si>
    <t>43.8x</t>
  </si>
  <si>
    <t>45.8x</t>
  </si>
  <si>
    <t>49.8x</t>
  </si>
  <si>
    <t>51.8x</t>
  </si>
  <si>
    <t>47.8x</t>
  </si>
  <si>
    <t>WACC / EMM Multiplier</t>
  </si>
  <si>
    <t>WACC / Terminal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</si>
</sst>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8" formatCode="&quot;$&quot;#,##0.00_);[Red]\(&quot;$&quot;#,##0.00\)"/>
    <numFmt numFmtId="44" formatCode="_(&quot;$&quot;* #,##0.00_);_(&quot;$&quot;* \(#,##0.00\);_(&quot;$&quot;* &quot;-&quot;??_);_(@_)"/>
    <numFmt numFmtId="43" formatCode="_(* #,##0.00_);_(* \(#,##0.00\);_(* &quot;-&quot;??_);_(@_)"/>
    <numFmt numFmtId="164" formatCode="_(* #,##0_);_(* \(#,##0\);_(* &quot;-&quot;??_);_(@_)"/>
    <numFmt numFmtId="165" formatCode="0.0\x"/>
    <numFmt numFmtId="166" formatCode="0.0%"/>
    <numFmt numFmtId="167" formatCode="0.0\×"/>
    <numFmt numFmtId="168" formatCode="_(* #,##0.0_);_(* \(#,##0.0\);_(* &quot;-&quot;??_);_(@_)"/>
    <numFmt numFmtId="169" formatCode="0.0"/>
    <numFmt numFmtId="170" formatCode="_(* #,##0.0_);_(* \(#,##0.0\);_(* &quot;-&quot;?_);_(@_)"/>
    <numFmt numFmtId="171" formatCode="_(* #,##0_);_(* \(#,##0\);_(* \-??_);_(@_)"/>
    <numFmt numFmtId="172" formatCode="_(* #,##0.0_);_(* \(#,##0.0\);_(* \-??_);_(@_)"/>
    <numFmt numFmtId="173" formatCode="_(* #,##0.00_);_(* \(#,##0.00\);_(* \-??_);_(@_)"/>
    <numFmt numFmtId="174" formatCode="_([$$-409]* #,##0.00_);_([$$-409]* \(#,##0.00\);_([$$-409]* &quot;-&quot;??_);_(@_)"/>
    <numFmt numFmtId="175" formatCode="_([$$-409]* #,##0_);_([$$-409]* \(#,##0\);_([$$-409]* &quot;-&quot;??_);_(@_)"/>
    <numFmt numFmtId="176" formatCode="\$#,##0.00"/>
    <numFmt numFmtId="177" formatCode="_(* #,##0.00_);_(* \(#,##0.00\);_(* &quot;-&quot;?_);_(@_)"/>
    <numFmt numFmtId="178" formatCode="_(* #,##0.000_);_(* \(#,##0.000\);_(* &quot;-&quot;??_);_(@_)"/>
    <numFmt numFmtId="179" formatCode="&quot;$&quot;#,##0.00"/>
  </numFmts>
  <fonts count="69" x14ac:knownFonts="1">
    <font>
      <sz val="12"/>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2"/>
      <color theme="0"/>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4"/>
      <color theme="1"/>
      <name val="Calibri"/>
      <family val="2"/>
      <scheme val="minor"/>
    </font>
    <font>
      <sz val="14"/>
      <color theme="1"/>
      <name val="Calibri"/>
      <family val="2"/>
      <scheme val="minor"/>
    </font>
    <font>
      <b/>
      <sz val="10"/>
      <color rgb="FF000000"/>
      <name val="Tahoma"/>
      <family val="2"/>
    </font>
    <font>
      <sz val="10"/>
      <color rgb="FF000000"/>
      <name val="Tahoma"/>
      <family val="2"/>
    </font>
    <font>
      <sz val="12"/>
      <name val="Calibri"/>
      <family val="2"/>
      <scheme val="minor"/>
    </font>
    <font>
      <b/>
      <sz val="14"/>
      <color rgb="FFFF0000"/>
      <name val="Calibri"/>
      <family val="2"/>
      <scheme val="minor"/>
    </font>
    <font>
      <sz val="12"/>
      <color rgb="FF000000"/>
      <name val="Calibri"/>
      <family val="2"/>
      <scheme val="minor"/>
    </font>
    <font>
      <u val="singleAccounting"/>
      <sz val="12"/>
      <color theme="1"/>
      <name val="Calibri"/>
      <family val="2"/>
      <scheme val="minor"/>
    </font>
    <font>
      <sz val="14"/>
      <color rgb="FF000000"/>
      <name val="Tahoma"/>
      <family val="2"/>
    </font>
    <font>
      <u val="singleAccounting"/>
      <sz val="12"/>
      <color rgb="FFFF0000"/>
      <name val="Calibri"/>
      <family val="2"/>
      <scheme val="minor"/>
    </font>
    <font>
      <sz val="12"/>
      <color rgb="FF0000FF"/>
      <name val="Calibri"/>
      <family val="2"/>
      <scheme val="minor"/>
    </font>
    <font>
      <u val="singleAccounting"/>
      <sz val="12"/>
      <color rgb="FF0000FF"/>
      <name val="Calibri"/>
      <family val="2"/>
      <scheme val="minor"/>
    </font>
    <font>
      <b/>
      <sz val="9"/>
      <color rgb="FF000000"/>
      <name val="Tahoma"/>
      <family val="2"/>
    </font>
    <font>
      <sz val="9"/>
      <color rgb="FF000000"/>
      <name val="Tahoma"/>
      <family val="2"/>
    </font>
    <font>
      <u/>
      <sz val="12"/>
      <color theme="1"/>
      <name val="Calibri"/>
      <family val="2"/>
      <scheme val="minor"/>
    </font>
    <font>
      <u val="doubleAccounting"/>
      <sz val="12"/>
      <color theme="1"/>
      <name val="Calibri"/>
      <family val="2"/>
      <scheme val="minor"/>
    </font>
    <font>
      <sz val="10"/>
      <color rgb="FF000000"/>
      <name val="Arial"/>
      <family val="2"/>
    </font>
    <font>
      <sz val="11"/>
      <color rgb="FF0000FF"/>
      <name val="Calibri"/>
      <family val="2"/>
      <scheme val="minor"/>
    </font>
    <font>
      <sz val="12"/>
      <color rgb="FF0070C0"/>
      <name val="Calibri"/>
      <family val="2"/>
      <scheme val="minor"/>
    </font>
    <font>
      <sz val="11"/>
      <color theme="0"/>
      <name val="Calibri"/>
      <family val="2"/>
      <scheme val="minor"/>
    </font>
    <font>
      <sz val="11"/>
      <color rgb="FF0070C0"/>
      <name val="Calibri"/>
      <family val="2"/>
      <scheme val="minor"/>
    </font>
    <font>
      <b/>
      <sz val="10"/>
      <name val="Calibri"/>
      <family val="2"/>
      <scheme val="minor"/>
    </font>
    <font>
      <sz val="10"/>
      <color rgb="FF000000"/>
      <name val="Calibri"/>
      <family val="2"/>
      <scheme val="minor"/>
    </font>
    <font>
      <i/>
      <sz val="12"/>
      <color theme="1"/>
      <name val="Calibri"/>
      <family val="2"/>
      <scheme val="minor"/>
    </font>
    <font>
      <sz val="12"/>
      <color rgb="FF0432FF"/>
      <name val="Calibri"/>
      <family val="2"/>
      <scheme val="minor"/>
    </font>
    <font>
      <sz val="11"/>
      <color theme="0" tint="-4.9989318521683403E-2"/>
      <name val="Calibri"/>
      <family val="2"/>
      <scheme val="minor"/>
    </font>
    <font>
      <u val="singleAccounting"/>
      <sz val="12"/>
      <name val="Calibri"/>
      <family val="2"/>
      <scheme val="minor"/>
    </font>
    <font>
      <sz val="9"/>
      <color indexed="81"/>
      <name val="Tahoma"/>
      <family val="2"/>
    </font>
    <font>
      <b/>
      <sz val="9"/>
      <color indexed="81"/>
      <name val="Tahoma"/>
      <family val="2"/>
    </font>
    <font>
      <sz val="12"/>
      <color theme="8" tint="-0.249977111117893"/>
      <name val="Calibri"/>
      <family val="2"/>
      <scheme val="minor"/>
    </font>
    <font>
      <sz val="13"/>
      <color theme="1"/>
      <name val="Calibri"/>
      <family val="2"/>
      <scheme val="minor"/>
    </font>
    <font>
      <sz val="13"/>
      <color rgb="FFFF0000"/>
      <name val="Calibri"/>
      <family val="2"/>
      <scheme val="minor"/>
    </font>
    <font>
      <sz val="13"/>
      <color theme="0"/>
      <name val="Calibri"/>
      <family val="2"/>
      <scheme val="minor"/>
    </font>
    <font>
      <sz val="13"/>
      <color rgb="FF0000FF"/>
      <name val="Calibri"/>
      <family val="2"/>
      <scheme val="minor"/>
    </font>
    <font>
      <u val="singleAccounting"/>
      <sz val="13"/>
      <color theme="1"/>
      <name val="Calibri"/>
      <family val="2"/>
      <scheme val="minor"/>
    </font>
    <font>
      <u/>
      <sz val="13"/>
      <color theme="1"/>
      <name val="Calibri"/>
      <family val="2"/>
      <scheme val="minor"/>
    </font>
    <font>
      <sz val="13"/>
      <color rgb="FF000000"/>
      <name val="Calibri"/>
      <family val="2"/>
      <scheme val="minor"/>
    </font>
    <font>
      <sz val="13"/>
      <name val="Calibri"/>
      <family val="2"/>
      <scheme val="minor"/>
    </font>
    <font>
      <u val="singleAccounting"/>
      <sz val="13"/>
      <color rgb="FF0000FF"/>
      <name val="Calibri"/>
      <family val="2"/>
      <scheme val="minor"/>
    </font>
    <font>
      <u val="doubleAccounting"/>
      <sz val="13"/>
      <color theme="1"/>
      <name val="Calibri"/>
      <family val="2"/>
      <scheme val="minor"/>
    </font>
    <font>
      <b/>
      <sz val="13"/>
      <color theme="1"/>
      <name val="Calibri"/>
      <family val="2"/>
      <scheme val="minor"/>
    </font>
    <font>
      <u val="singleAccounting"/>
      <sz val="13"/>
      <name val="Calibri"/>
      <family val="2"/>
      <scheme val="minor"/>
    </font>
    <font>
      <u val="singleAccounting"/>
      <sz val="13"/>
      <color rgb="FFFF0000"/>
      <name val="Calibri"/>
      <family val="2"/>
      <scheme val="minor"/>
    </font>
    <font>
      <i/>
      <sz val="13"/>
      <color theme="1"/>
      <name val="Calibri"/>
      <family val="2"/>
      <scheme val="minor"/>
    </font>
    <font>
      <sz val="13"/>
      <color theme="8" tint="-0.249977111117893"/>
      <name val="Calibri"/>
      <family val="2"/>
      <scheme val="minor"/>
    </font>
    <font>
      <b/>
      <sz val="13"/>
      <color rgb="FF000000"/>
      <name val="Calibri"/>
      <family val="2"/>
      <scheme val="minor"/>
    </font>
    <font>
      <i/>
      <sz val="13"/>
      <color rgb="FF000000"/>
      <name val="Calibri"/>
      <family val="2"/>
      <scheme val="minor"/>
    </font>
    <font>
      <b/>
      <sz val="13"/>
      <name val="Calibri"/>
      <family val="2"/>
      <scheme val="minor"/>
    </font>
    <font>
      <b/>
      <i/>
      <sz val="13"/>
      <color theme="1"/>
      <name val="Calibri"/>
      <family val="2"/>
      <scheme val="minor"/>
    </font>
    <font>
      <b/>
      <sz val="15"/>
      <color rgb="FFFFFFFF"/>
      <name val="Times New Roman"/>
      <family val="1"/>
    </font>
    <font>
      <b/>
      <sz val="15"/>
      <color rgb="FF333333"/>
      <name val="Times New Roman"/>
      <family val="1"/>
    </font>
    <font>
      <sz val="15"/>
      <color rgb="FF333333"/>
      <name val="Times New Roman"/>
      <family val="1"/>
    </font>
    <font>
      <b/>
      <sz val="15"/>
      <color rgb="FFFFFFFF"/>
      <name val="Arial"/>
      <family val="2"/>
    </font>
    <font>
      <sz val="15"/>
      <color rgb="FF333333"/>
      <name val="Arial"/>
      <family val="2"/>
    </font>
    <font>
      <b/>
      <sz val="15"/>
      <color theme="0"/>
      <name val="Times New Roman"/>
      <family val="1"/>
    </font>
    <font>
      <sz val="14"/>
      <color rgb="FF232A31"/>
      <name val="Arial"/>
      <family val="2"/>
    </font>
    <font>
      <b/>
      <sz val="12"/>
      <color theme="0"/>
      <name val="Calibri"/>
      <family val="2"/>
      <scheme val="minor"/>
    </font>
    <font>
      <b/>
      <sz val="14"/>
      <color theme="0"/>
      <name val="Times New Roman"/>
      <family val="1"/>
    </font>
    <font>
      <b/>
      <sz val="14"/>
      <color rgb="FFFFFFFF"/>
      <name val="Times New Roman"/>
      <family val="1"/>
    </font>
    <font>
      <b/>
      <sz val="14"/>
      <color rgb="FF333333"/>
      <name val="Times New Roman"/>
      <family val="1"/>
    </font>
    <font>
      <b/>
      <sz val="14"/>
      <color theme="1"/>
      <name val="Times New Roman"/>
      <family val="1"/>
    </font>
  </fonts>
  <fills count="21">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9847407452621"/>
        <bgColor rgb="FF000000"/>
      </patternFill>
    </fill>
    <fill>
      <patternFill patternType="solid">
        <fgColor rgb="FF00B050"/>
        <bgColor rgb="FF008080"/>
      </patternFill>
    </fill>
    <fill>
      <patternFill patternType="solid">
        <fgColor theme="1"/>
        <bgColor rgb="FF003300"/>
      </patternFill>
    </fill>
    <fill>
      <patternFill patternType="solid">
        <fgColor rgb="FFD6E4F0"/>
        <bgColor rgb="FFDAE3F3"/>
      </patternFill>
    </fill>
    <fill>
      <patternFill patternType="solid">
        <fgColor theme="0" tint="-0.14999847407452621"/>
        <bgColor rgb="FFD6E4F0"/>
      </patternFill>
    </fill>
    <fill>
      <patternFill patternType="solid">
        <fgColor theme="0"/>
        <bgColor indexed="64"/>
      </patternFill>
    </fill>
    <fill>
      <patternFill patternType="solid">
        <fgColor rgb="FFFFFF00"/>
        <bgColor rgb="FFFFFF00"/>
      </patternFill>
    </fill>
    <fill>
      <patternFill patternType="solid">
        <fgColor rgb="FFFFFF00"/>
        <bgColor indexed="64"/>
      </patternFill>
    </fill>
    <fill>
      <patternFill patternType="solid">
        <fgColor theme="2" tint="-9.9978637043366805E-2"/>
        <bgColor indexed="64"/>
      </patternFill>
    </fill>
    <fill>
      <patternFill patternType="solid">
        <fgColor rgb="FF1B2A4A"/>
        <bgColor indexed="64"/>
      </patternFill>
    </fill>
    <fill>
      <patternFill patternType="solid">
        <fgColor rgb="FFEDF2F9"/>
        <bgColor indexed="64"/>
      </patternFill>
    </fill>
    <fill>
      <patternFill patternType="solid">
        <fgColor rgb="FF002060"/>
        <bgColor indexed="64"/>
      </patternFill>
    </fill>
  </fills>
  <borders count="43">
    <border>
      <left/>
      <right/>
      <top/>
      <bottom/>
      <diagonal/>
    </border>
    <border>
      <left style="medium">
        <color auto="1"/>
      </left>
      <right/>
      <top style="medium">
        <color auto="1"/>
      </top>
      <bottom style="medium">
        <color auto="1"/>
      </bottom>
      <diagonal/>
    </border>
    <border>
      <left/>
      <right style="thin">
        <color auto="1"/>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right style="medium">
        <color indexed="64"/>
      </right>
      <top style="medium">
        <color indexed="64"/>
      </top>
      <bottom/>
      <diagonal/>
    </border>
    <border>
      <left/>
      <right style="medium">
        <color auto="1"/>
      </right>
      <top/>
      <bottom/>
      <diagonal/>
    </border>
    <border>
      <left style="thin">
        <color indexed="64"/>
      </left>
      <right style="thin">
        <color indexed="64"/>
      </right>
      <top/>
      <bottom style="medium">
        <color indexed="64"/>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diagonal/>
    </border>
    <border>
      <left style="medium">
        <color auto="1"/>
      </left>
      <right/>
      <top style="thin">
        <color auto="1"/>
      </top>
      <bottom/>
      <diagonal/>
    </border>
    <border>
      <left/>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top/>
      <bottom style="medium">
        <color auto="1"/>
      </bottom>
      <diagonal/>
    </border>
    <border>
      <left style="medium">
        <color auto="1"/>
      </left>
      <right/>
      <top style="medium">
        <color auto="1"/>
      </top>
      <bottom/>
      <diagonal/>
    </border>
    <border>
      <left style="medium">
        <color auto="1"/>
      </left>
      <right/>
      <top style="thin">
        <color auto="1"/>
      </top>
      <bottom style="thin">
        <color indexed="64"/>
      </bottom>
      <diagonal/>
    </border>
    <border>
      <left style="medium">
        <color auto="1"/>
      </left>
      <right style="thin">
        <color auto="1"/>
      </right>
      <top style="medium">
        <color indexed="64"/>
      </top>
      <bottom style="thin">
        <color indexed="64"/>
      </bottom>
      <diagonal/>
    </border>
    <border>
      <left style="medium">
        <color auto="1"/>
      </left>
      <right style="thin">
        <color auto="1"/>
      </right>
      <top/>
      <bottom style="thin">
        <color indexed="64"/>
      </bottom>
      <diagonal/>
    </border>
    <border>
      <left style="thin">
        <color auto="1"/>
      </left>
      <right/>
      <top style="medium">
        <color indexed="64"/>
      </top>
      <bottom style="thin">
        <color auto="1"/>
      </bottom>
      <diagonal/>
    </border>
    <border>
      <left style="thin">
        <color auto="1"/>
      </left>
      <right/>
      <top/>
      <bottom style="thin">
        <color auto="1"/>
      </bottom>
      <diagonal/>
    </border>
    <border>
      <left style="thin">
        <color indexed="64"/>
      </left>
      <right/>
      <top style="thin">
        <color indexed="64"/>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medium">
        <color auto="1"/>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9" fontId="1" fillId="0" borderId="0" applyFont="0" applyFill="0" applyBorder="0" applyAlignment="0" applyProtection="0"/>
    <xf numFmtId="0" fontId="5"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1" fillId="0" borderId="0"/>
    <xf numFmtId="43" fontId="1" fillId="0" borderId="0" applyFont="0" applyFill="0" applyBorder="0" applyAlignment="0" applyProtection="0"/>
  </cellStyleXfs>
  <cellXfs count="620">
    <xf numFmtId="0" fontId="0" fillId="0" borderId="0" xfId="0"/>
    <xf numFmtId="0" fontId="2" fillId="0" borderId="0" xfId="0" applyFont="1"/>
    <xf numFmtId="0" fontId="4" fillId="2" borderId="0" xfId="0" applyFont="1" applyFill="1"/>
    <xf numFmtId="1" fontId="4" fillId="2" borderId="0" xfId="0" applyNumberFormat="1" applyFont="1" applyFill="1" applyAlignment="1">
      <alignment horizontal="center"/>
    </xf>
    <xf numFmtId="1" fontId="0" fillId="0" borderId="0" xfId="0" applyNumberFormat="1" applyAlignment="1">
      <alignment horizontal="left"/>
    </xf>
    <xf numFmtId="0" fontId="0" fillId="3" borderId="0" xfId="0" applyFill="1"/>
    <xf numFmtId="0" fontId="0" fillId="0" borderId="0" xfId="0" applyAlignment="1">
      <alignment horizontal="left"/>
    </xf>
    <xf numFmtId="0" fontId="3" fillId="0" borderId="2" xfId="2" applyFont="1" applyBorder="1" applyAlignment="1">
      <alignment horizontal="center" vertical="center" wrapText="1"/>
    </xf>
    <xf numFmtId="0" fontId="6" fillId="0" borderId="0" xfId="2" applyFont="1" applyAlignment="1">
      <alignment wrapText="1"/>
    </xf>
    <xf numFmtId="0" fontId="5" fillId="0" borderId="0" xfId="2" applyAlignment="1">
      <alignment wrapText="1"/>
    </xf>
    <xf numFmtId="0" fontId="5" fillId="0" borderId="0" xfId="2" applyAlignment="1">
      <alignment horizontal="center" wrapText="1"/>
    </xf>
    <xf numFmtId="0" fontId="5" fillId="4" borderId="5" xfId="2" applyFill="1" applyBorder="1" applyAlignment="1">
      <alignment wrapText="1"/>
    </xf>
    <xf numFmtId="0" fontId="5" fillId="4" borderId="6" xfId="2" applyFill="1" applyBorder="1" applyAlignment="1">
      <alignment horizontal="center" wrapText="1"/>
    </xf>
    <xf numFmtId="0" fontId="5" fillId="4" borderId="8" xfId="2" applyFill="1" applyBorder="1" applyAlignment="1">
      <alignment wrapText="1"/>
    </xf>
    <xf numFmtId="0" fontId="5" fillId="4" borderId="9" xfId="2" applyFill="1" applyBorder="1" applyAlignment="1">
      <alignment horizontal="center" wrapText="1"/>
    </xf>
    <xf numFmtId="0" fontId="6" fillId="4" borderId="7" xfId="2" applyFont="1" applyFill="1" applyBorder="1" applyAlignment="1">
      <alignment wrapText="1"/>
    </xf>
    <xf numFmtId="0" fontId="7" fillId="5" borderId="8" xfId="2" applyFont="1" applyFill="1" applyBorder="1" applyAlignment="1">
      <alignment wrapText="1"/>
    </xf>
    <xf numFmtId="0" fontId="7" fillId="5" borderId="11" xfId="2" applyFont="1" applyFill="1" applyBorder="1" applyAlignment="1">
      <alignment wrapText="1"/>
    </xf>
    <xf numFmtId="0" fontId="8" fillId="6" borderId="4" xfId="2" applyFont="1" applyFill="1" applyBorder="1" applyAlignment="1">
      <alignment vertical="center" wrapText="1"/>
    </xf>
    <xf numFmtId="0" fontId="5" fillId="6" borderId="5" xfId="2" applyFill="1" applyBorder="1" applyAlignment="1">
      <alignment wrapText="1"/>
    </xf>
    <xf numFmtId="0" fontId="5" fillId="6" borderId="6" xfId="2" applyFill="1" applyBorder="1" applyAlignment="1">
      <alignment horizontal="center" wrapText="1"/>
    </xf>
    <xf numFmtId="0" fontId="8" fillId="6" borderId="7" xfId="2" applyFont="1" applyFill="1" applyBorder="1" applyAlignment="1">
      <alignment wrapText="1"/>
    </xf>
    <xf numFmtId="0" fontId="5" fillId="6" borderId="8" xfId="2" applyFill="1" applyBorder="1" applyAlignment="1">
      <alignment wrapText="1"/>
    </xf>
    <xf numFmtId="0" fontId="5" fillId="6" borderId="9" xfId="2" applyFill="1" applyBorder="1" applyAlignment="1">
      <alignment horizontal="center" wrapText="1"/>
    </xf>
    <xf numFmtId="0" fontId="6" fillId="6" borderId="7" xfId="2" applyFont="1" applyFill="1" applyBorder="1" applyAlignment="1">
      <alignment wrapText="1"/>
    </xf>
    <xf numFmtId="0" fontId="6" fillId="6" borderId="10" xfId="2" applyFont="1" applyFill="1" applyBorder="1" applyAlignment="1">
      <alignment wrapText="1"/>
    </xf>
    <xf numFmtId="0" fontId="5" fillId="6" borderId="11" xfId="2" applyFill="1" applyBorder="1" applyAlignment="1">
      <alignment wrapText="1"/>
    </xf>
    <xf numFmtId="0" fontId="5" fillId="6" borderId="12" xfId="2" applyFill="1" applyBorder="1" applyAlignment="1">
      <alignment horizontal="center" wrapText="1"/>
    </xf>
    <xf numFmtId="0" fontId="5" fillId="7" borderId="5" xfId="2" applyFill="1" applyBorder="1" applyAlignment="1">
      <alignment wrapText="1"/>
    </xf>
    <xf numFmtId="0" fontId="5" fillId="7" borderId="6" xfId="2" applyFill="1" applyBorder="1" applyAlignment="1">
      <alignment horizontal="center" wrapText="1"/>
    </xf>
    <xf numFmtId="0" fontId="5" fillId="7" borderId="13" xfId="2" applyFill="1" applyBorder="1" applyAlignment="1">
      <alignment wrapText="1"/>
    </xf>
    <xf numFmtId="0" fontId="5" fillId="7" borderId="14" xfId="2" applyFill="1" applyBorder="1" applyAlignment="1">
      <alignment horizontal="center" wrapText="1"/>
    </xf>
    <xf numFmtId="0" fontId="5" fillId="7" borderId="8" xfId="2" applyFill="1" applyBorder="1" applyAlignment="1">
      <alignment wrapText="1"/>
    </xf>
    <xf numFmtId="0" fontId="5" fillId="7" borderId="9" xfId="2" applyFill="1" applyBorder="1" applyAlignment="1">
      <alignment horizontal="center" wrapText="1"/>
    </xf>
    <xf numFmtId="0" fontId="6" fillId="7" borderId="7" xfId="2" applyFont="1" applyFill="1" applyBorder="1" applyAlignment="1">
      <alignment wrapText="1"/>
    </xf>
    <xf numFmtId="0" fontId="6" fillId="7" borderId="10" xfId="2" applyFont="1" applyFill="1" applyBorder="1" applyAlignment="1">
      <alignment wrapText="1"/>
    </xf>
    <xf numFmtId="0" fontId="5" fillId="7" borderId="15" xfId="2" applyFill="1" applyBorder="1" applyAlignment="1">
      <alignment wrapText="1"/>
    </xf>
    <xf numFmtId="0" fontId="5" fillId="7" borderId="12" xfId="2" applyFill="1" applyBorder="1" applyAlignment="1">
      <alignment horizontal="center" wrapText="1"/>
    </xf>
    <xf numFmtId="0" fontId="5" fillId="7" borderId="19" xfId="2" applyFill="1" applyBorder="1" applyAlignment="1">
      <alignment horizontal="center" wrapText="1"/>
    </xf>
    <xf numFmtId="0" fontId="8" fillId="8" borderId="0" xfId="2" applyFont="1" applyFill="1" applyAlignment="1">
      <alignment wrapText="1"/>
    </xf>
    <xf numFmtId="0" fontId="5" fillId="8" borderId="0" xfId="2" applyFill="1" applyAlignment="1">
      <alignment wrapText="1"/>
    </xf>
    <xf numFmtId="0" fontId="5" fillId="8" borderId="0" xfId="2" applyFill="1" applyAlignment="1">
      <alignment horizontal="center" wrapText="1"/>
    </xf>
    <xf numFmtId="0" fontId="8" fillId="3" borderId="4" xfId="2" applyFont="1" applyFill="1" applyBorder="1" applyAlignment="1">
      <alignment horizontal="center" vertical="center" wrapText="1"/>
    </xf>
    <xf numFmtId="0" fontId="5" fillId="3" borderId="6" xfId="2" applyFill="1" applyBorder="1" applyAlignment="1">
      <alignment horizontal="center" wrapText="1"/>
    </xf>
    <xf numFmtId="0" fontId="8" fillId="3" borderId="7" xfId="2" applyFont="1" applyFill="1" applyBorder="1" applyAlignment="1">
      <alignment horizontal="center" vertical="center" wrapText="1"/>
    </xf>
    <xf numFmtId="0" fontId="5" fillId="3" borderId="14" xfId="2" applyFill="1" applyBorder="1" applyAlignment="1">
      <alignment horizontal="center" wrapText="1"/>
    </xf>
    <xf numFmtId="0" fontId="5" fillId="3" borderId="8" xfId="2" applyFill="1" applyBorder="1" applyAlignment="1">
      <alignment wrapText="1"/>
    </xf>
    <xf numFmtId="0" fontId="5" fillId="3" borderId="9" xfId="2" applyFill="1" applyBorder="1" applyAlignment="1">
      <alignment horizontal="center" wrapText="1"/>
    </xf>
    <xf numFmtId="0" fontId="8" fillId="3" borderId="7" xfId="2" applyFont="1" applyFill="1" applyBorder="1" applyAlignment="1">
      <alignment horizontal="center" wrapText="1"/>
    </xf>
    <xf numFmtId="0" fontId="7" fillId="9" borderId="8" xfId="2" applyFont="1" applyFill="1" applyBorder="1" applyAlignment="1">
      <alignment wrapText="1"/>
    </xf>
    <xf numFmtId="0" fontId="6" fillId="3" borderId="7" xfId="2" applyFont="1" applyFill="1" applyBorder="1" applyAlignment="1">
      <alignment wrapText="1"/>
    </xf>
    <xf numFmtId="0" fontId="5" fillId="3" borderId="7" xfId="2" applyFill="1" applyBorder="1"/>
    <xf numFmtId="0" fontId="5" fillId="3" borderId="9" xfId="2" quotePrefix="1" applyFill="1" applyBorder="1" applyAlignment="1">
      <alignment horizontal="center"/>
    </xf>
    <xf numFmtId="0" fontId="9" fillId="8" borderId="0" xfId="2" applyFont="1" applyFill="1"/>
    <xf numFmtId="0" fontId="5" fillId="8" borderId="0" xfId="2" applyFill="1"/>
    <xf numFmtId="14" fontId="0" fillId="0" borderId="0" xfId="0" applyNumberFormat="1"/>
    <xf numFmtId="10" fontId="0" fillId="0" borderId="0" xfId="1" applyNumberFormat="1" applyFont="1"/>
    <xf numFmtId="0" fontId="1" fillId="3" borderId="0" xfId="4" applyFill="1"/>
    <xf numFmtId="0" fontId="1" fillId="0" borderId="0" xfId="4"/>
    <xf numFmtId="164" fontId="0" fillId="0" borderId="0" xfId="5" applyNumberFormat="1" applyFont="1"/>
    <xf numFmtId="10" fontId="0" fillId="0" borderId="0" xfId="6" applyNumberFormat="1" applyFont="1"/>
    <xf numFmtId="0" fontId="1" fillId="0" borderId="0" xfId="4" applyAlignment="1">
      <alignment horizontal="right"/>
    </xf>
    <xf numFmtId="0" fontId="1" fillId="0" borderId="0" xfId="4" applyAlignment="1">
      <alignment horizontal="left"/>
    </xf>
    <xf numFmtId="0" fontId="1" fillId="0" borderId="0" xfId="4" applyAlignment="1">
      <alignment horizontal="center"/>
    </xf>
    <xf numFmtId="14" fontId="1" fillId="0" borderId="0" xfId="4" applyNumberFormat="1"/>
    <xf numFmtId="164" fontId="0" fillId="0" borderId="0" xfId="0" applyNumberFormat="1"/>
    <xf numFmtId="0" fontId="8" fillId="4" borderId="4" xfId="2" applyFont="1" applyFill="1" applyBorder="1" applyAlignment="1">
      <alignment wrapText="1"/>
    </xf>
    <xf numFmtId="0" fontId="8" fillId="4" borderId="7" xfId="2" applyFont="1" applyFill="1" applyBorder="1" applyAlignment="1">
      <alignment wrapText="1"/>
    </xf>
    <xf numFmtId="0" fontId="5" fillId="4" borderId="13" xfId="2" applyFill="1" applyBorder="1" applyAlignment="1">
      <alignment wrapText="1"/>
    </xf>
    <xf numFmtId="0" fontId="5" fillId="4" borderId="14" xfId="2" applyFill="1" applyBorder="1" applyAlignment="1">
      <alignment horizontal="center" wrapText="1"/>
    </xf>
    <xf numFmtId="0" fontId="5" fillId="7" borderId="30" xfId="2" applyFill="1" applyBorder="1" applyAlignment="1">
      <alignment wrapText="1"/>
    </xf>
    <xf numFmtId="0" fontId="5" fillId="3" borderId="31" xfId="2" applyFill="1" applyBorder="1" applyAlignment="1">
      <alignment wrapText="1"/>
    </xf>
    <xf numFmtId="0" fontId="5" fillId="3" borderId="32" xfId="2" applyFill="1" applyBorder="1" applyAlignment="1">
      <alignment wrapText="1"/>
    </xf>
    <xf numFmtId="0" fontId="5" fillId="3" borderId="13" xfId="2" applyFill="1" applyBorder="1" applyAlignment="1">
      <alignment wrapText="1"/>
    </xf>
    <xf numFmtId="0" fontId="13" fillId="0" borderId="0" xfId="0" applyFont="1"/>
    <xf numFmtId="14" fontId="0" fillId="0" borderId="0" xfId="0" applyNumberFormat="1" applyAlignment="1">
      <alignment horizontal="right"/>
    </xf>
    <xf numFmtId="0" fontId="8" fillId="7" borderId="4" xfId="2" applyFont="1" applyFill="1" applyBorder="1" applyAlignment="1">
      <alignment vertical="center" wrapText="1"/>
    </xf>
    <xf numFmtId="0" fontId="7" fillId="9" borderId="13" xfId="2" applyFont="1" applyFill="1" applyBorder="1" applyAlignment="1">
      <alignment wrapText="1"/>
    </xf>
    <xf numFmtId="0" fontId="8" fillId="7" borderId="4" xfId="2" applyFont="1" applyFill="1" applyBorder="1" applyAlignment="1">
      <alignment wrapText="1"/>
    </xf>
    <xf numFmtId="0" fontId="8" fillId="7" borderId="7" xfId="2" applyFont="1" applyFill="1" applyBorder="1" applyAlignment="1">
      <alignment wrapText="1"/>
    </xf>
    <xf numFmtId="0" fontId="14" fillId="0" borderId="0" xfId="0" applyFont="1"/>
    <xf numFmtId="0" fontId="2" fillId="0" borderId="0" xfId="0" applyFont="1" applyAlignment="1">
      <alignment horizontal="left"/>
    </xf>
    <xf numFmtId="0" fontId="3" fillId="0" borderId="0" xfId="2" applyFont="1" applyAlignment="1">
      <alignment horizontal="center" wrapText="1"/>
    </xf>
    <xf numFmtId="0" fontId="5" fillId="4" borderId="33" xfId="2" applyFill="1" applyBorder="1" applyAlignment="1">
      <alignment horizontal="center" wrapText="1"/>
    </xf>
    <xf numFmtId="0" fontId="5" fillId="4" borderId="34" xfId="2" applyFill="1" applyBorder="1" applyAlignment="1">
      <alignment horizontal="center" wrapText="1"/>
    </xf>
    <xf numFmtId="0" fontId="5" fillId="4" borderId="35" xfId="2" applyFill="1" applyBorder="1" applyAlignment="1">
      <alignment horizontal="center" wrapText="1"/>
    </xf>
    <xf numFmtId="0" fontId="5" fillId="4" borderId="36" xfId="2" applyFill="1" applyBorder="1" applyAlignment="1">
      <alignment horizontal="center" wrapText="1"/>
    </xf>
    <xf numFmtId="0" fontId="5" fillId="0" borderId="8" xfId="2" applyBorder="1" applyAlignment="1">
      <alignment horizontal="center" wrapText="1"/>
    </xf>
    <xf numFmtId="0" fontId="5" fillId="6" borderId="34" xfId="2" applyFill="1" applyBorder="1" applyAlignment="1">
      <alignment horizontal="center" wrapText="1"/>
    </xf>
    <xf numFmtId="0" fontId="5" fillId="7" borderId="34" xfId="2" applyFill="1" applyBorder="1" applyAlignment="1">
      <alignment horizontal="center" wrapText="1"/>
    </xf>
    <xf numFmtId="0" fontId="5" fillId="7" borderId="35" xfId="2" applyFill="1" applyBorder="1" applyAlignment="1">
      <alignment horizontal="center" wrapText="1"/>
    </xf>
    <xf numFmtId="0" fontId="5" fillId="7" borderId="27" xfId="2" applyFill="1" applyBorder="1" applyAlignment="1">
      <alignment horizontal="center" wrapText="1"/>
    </xf>
    <xf numFmtId="0" fontId="5" fillId="7" borderId="37" xfId="2" applyFill="1" applyBorder="1" applyAlignment="1">
      <alignment horizontal="center" wrapText="1"/>
    </xf>
    <xf numFmtId="0" fontId="5" fillId="7" borderId="0" xfId="2" applyFill="1" applyAlignment="1">
      <alignment horizontal="center" wrapText="1"/>
    </xf>
    <xf numFmtId="0" fontId="8" fillId="0" borderId="0" xfId="2" applyFont="1" applyAlignment="1">
      <alignment wrapText="1"/>
    </xf>
    <xf numFmtId="0" fontId="5" fillId="3" borderId="0" xfId="2" applyFill="1" applyAlignment="1">
      <alignment horizontal="center" wrapText="1"/>
    </xf>
    <xf numFmtId="0" fontId="5" fillId="3" borderId="34" xfId="2" applyFill="1" applyBorder="1" applyAlignment="1">
      <alignment horizontal="center" wrapText="1"/>
    </xf>
    <xf numFmtId="0" fontId="5" fillId="3" borderId="35" xfId="2" applyFill="1" applyBorder="1" applyAlignment="1">
      <alignment horizontal="center" wrapText="1"/>
    </xf>
    <xf numFmtId="0" fontId="5" fillId="3" borderId="0" xfId="2" quotePrefix="1" applyFill="1" applyAlignment="1">
      <alignment horizontal="center"/>
    </xf>
    <xf numFmtId="1" fontId="0" fillId="3" borderId="0" xfId="0" applyNumberFormat="1" applyFill="1" applyAlignment="1">
      <alignment horizontal="center"/>
    </xf>
    <xf numFmtId="0" fontId="12" fillId="0" borderId="0" xfId="0" applyFont="1"/>
    <xf numFmtId="168" fontId="0" fillId="0" borderId="0" xfId="0" applyNumberFormat="1"/>
    <xf numFmtId="168" fontId="15" fillId="0" borderId="0" xfId="0" applyNumberFormat="1" applyFont="1"/>
    <xf numFmtId="166" fontId="0" fillId="0" borderId="0" xfId="1" applyNumberFormat="1" applyFont="1" applyAlignment="1">
      <alignment horizontal="right"/>
    </xf>
    <xf numFmtId="168" fontId="17" fillId="0" borderId="0" xfId="0" applyNumberFormat="1" applyFont="1"/>
    <xf numFmtId="166" fontId="2" fillId="0" borderId="0" xfId="1" applyNumberFormat="1" applyFont="1" applyAlignment="1">
      <alignment horizontal="right"/>
    </xf>
    <xf numFmtId="168" fontId="0" fillId="0" borderId="0" xfId="0" applyNumberFormat="1" applyAlignment="1">
      <alignment horizontal="center"/>
    </xf>
    <xf numFmtId="168" fontId="18" fillId="0" borderId="0" xfId="0" applyNumberFormat="1" applyFont="1"/>
    <xf numFmtId="168" fontId="19" fillId="0" borderId="0" xfId="0" applyNumberFormat="1" applyFont="1"/>
    <xf numFmtId="0" fontId="12" fillId="3" borderId="0" xfId="0" applyFont="1" applyFill="1"/>
    <xf numFmtId="168" fontId="15" fillId="3" borderId="0" xfId="0" applyNumberFormat="1" applyFont="1" applyFill="1"/>
    <xf numFmtId="168" fontId="0" fillId="3" borderId="0" xfId="0" applyNumberFormat="1" applyFill="1"/>
    <xf numFmtId="166" fontId="0" fillId="0" borderId="0" xfId="1" applyNumberFormat="1" applyFont="1" applyFill="1"/>
    <xf numFmtId="166" fontId="0" fillId="0" borderId="0" xfId="1" applyNumberFormat="1" applyFont="1"/>
    <xf numFmtId="168" fontId="2" fillId="0" borderId="0" xfId="0" applyNumberFormat="1" applyFont="1"/>
    <xf numFmtId="166" fontId="2" fillId="0" borderId="0" xfId="1" applyNumberFormat="1" applyFont="1"/>
    <xf numFmtId="1" fontId="12" fillId="3" borderId="0" xfId="0" applyNumberFormat="1" applyFont="1" applyFill="1" applyAlignment="1">
      <alignment horizontal="center"/>
    </xf>
    <xf numFmtId="0" fontId="12" fillId="0" borderId="29" xfId="0" applyFont="1" applyBorder="1"/>
    <xf numFmtId="0" fontId="12" fillId="0" borderId="23" xfId="0" applyFont="1" applyBorder="1"/>
    <xf numFmtId="0" fontId="12" fillId="0" borderId="28" xfId="0" applyFont="1" applyBorder="1"/>
    <xf numFmtId="170" fontId="0" fillId="0" borderId="0" xfId="0" applyNumberFormat="1"/>
    <xf numFmtId="9" fontId="0" fillId="0" borderId="0" xfId="1" applyFont="1"/>
    <xf numFmtId="0" fontId="12" fillId="0" borderId="0" xfId="0" applyFont="1" applyAlignment="1">
      <alignment vertical="center"/>
    </xf>
    <xf numFmtId="168" fontId="12" fillId="0" borderId="0" xfId="0" applyNumberFormat="1" applyFont="1"/>
    <xf numFmtId="166" fontId="18" fillId="0" borderId="0" xfId="1" applyNumberFormat="1" applyFont="1"/>
    <xf numFmtId="166" fontId="2" fillId="0" borderId="0" xfId="1" applyNumberFormat="1" applyFont="1" applyFill="1"/>
    <xf numFmtId="44" fontId="0" fillId="0" borderId="0" xfId="1" applyNumberFormat="1" applyFont="1"/>
    <xf numFmtId="44" fontId="12" fillId="0" borderId="0" xfId="0" applyNumberFormat="1" applyFont="1"/>
    <xf numFmtId="44" fontId="2" fillId="0" borderId="0" xfId="1" applyNumberFormat="1" applyFont="1"/>
    <xf numFmtId="168" fontId="12" fillId="3" borderId="0" xfId="0" applyNumberFormat="1" applyFont="1" applyFill="1"/>
    <xf numFmtId="166" fontId="12" fillId="0" borderId="0" xfId="1" applyNumberFormat="1" applyFont="1"/>
    <xf numFmtId="168" fontId="22" fillId="0" borderId="0" xfId="0" applyNumberFormat="1" applyFont="1"/>
    <xf numFmtId="168" fontId="23" fillId="0" borderId="0" xfId="0" applyNumberFormat="1" applyFont="1"/>
    <xf numFmtId="0" fontId="26" fillId="0" borderId="0" xfId="0" applyFont="1"/>
    <xf numFmtId="0" fontId="0" fillId="10" borderId="0" xfId="0" applyFill="1"/>
    <xf numFmtId="0" fontId="4" fillId="11" borderId="21" xfId="0" applyFont="1" applyFill="1" applyBorder="1"/>
    <xf numFmtId="0" fontId="27" fillId="11" borderId="22" xfId="0" applyFont="1" applyFill="1" applyBorder="1" applyAlignment="1">
      <alignment horizontal="center" wrapText="1"/>
    </xf>
    <xf numFmtId="0" fontId="28" fillId="11" borderId="22" xfId="0" applyFont="1" applyFill="1" applyBorder="1" applyAlignment="1">
      <alignment horizontal="center" wrapText="1"/>
    </xf>
    <xf numFmtId="0" fontId="26" fillId="11" borderId="22" xfId="0" applyFont="1" applyFill="1" applyBorder="1" applyAlignment="1">
      <alignment horizontal="center" wrapText="1"/>
    </xf>
    <xf numFmtId="0" fontId="4" fillId="11" borderId="16" xfId="0" applyFont="1" applyFill="1" applyBorder="1" applyAlignment="1">
      <alignment horizontal="center" wrapText="1"/>
    </xf>
    <xf numFmtId="165" fontId="27" fillId="11" borderId="22" xfId="0" applyNumberFormat="1" applyFont="1" applyFill="1" applyBorder="1" applyAlignment="1">
      <alignment horizontal="center" wrapText="1"/>
    </xf>
    <xf numFmtId="0" fontId="4" fillId="11" borderId="0" xfId="0" applyFont="1" applyFill="1" applyAlignment="1">
      <alignment horizontal="center" wrapText="1"/>
    </xf>
    <xf numFmtId="0" fontId="29" fillId="0" borderId="23" xfId="0" applyFont="1" applyBorder="1" applyAlignment="1">
      <alignment horizontal="left" vertical="top"/>
    </xf>
    <xf numFmtId="0" fontId="30" fillId="0" borderId="0" xfId="0" applyFont="1" applyAlignment="1">
      <alignment vertical="top" wrapText="1"/>
    </xf>
    <xf numFmtId="0" fontId="0" fillId="0" borderId="0" xfId="0" applyAlignment="1">
      <alignment vertical="top" wrapText="1"/>
    </xf>
    <xf numFmtId="3" fontId="30" fillId="0" borderId="0" xfId="0" applyNumberFormat="1" applyFont="1"/>
    <xf numFmtId="166" fontId="30" fillId="0" borderId="0" xfId="0" applyNumberFormat="1" applyFont="1"/>
    <xf numFmtId="165" fontId="30" fillId="0" borderId="0" xfId="0" applyNumberFormat="1" applyFont="1"/>
    <xf numFmtId="0" fontId="29" fillId="13" borderId="23" xfId="0" applyFont="1" applyFill="1" applyBorder="1" applyAlignment="1">
      <alignment horizontal="left" vertical="top"/>
    </xf>
    <xf numFmtId="0" fontId="30" fillId="13" borderId="0" xfId="0" applyFont="1" applyFill="1" applyAlignment="1">
      <alignment vertical="top" wrapText="1"/>
    </xf>
    <xf numFmtId="0" fontId="0" fillId="13" borderId="0" xfId="0" applyFill="1" applyAlignment="1">
      <alignment vertical="top" wrapText="1"/>
    </xf>
    <xf numFmtId="3" fontId="30" fillId="13" borderId="0" xfId="0" applyNumberFormat="1" applyFont="1" applyFill="1"/>
    <xf numFmtId="166" fontId="30" fillId="13" borderId="0" xfId="0" applyNumberFormat="1" applyFont="1" applyFill="1"/>
    <xf numFmtId="165" fontId="30" fillId="13" borderId="0" xfId="0" applyNumberFormat="1" applyFont="1" applyFill="1"/>
    <xf numFmtId="0" fontId="0" fillId="13" borderId="23" xfId="0" applyFill="1" applyBorder="1" applyAlignment="1">
      <alignment horizontal="left" vertical="top"/>
    </xf>
    <xf numFmtId="0" fontId="31" fillId="13" borderId="0" xfId="0" applyFont="1" applyFill="1" applyAlignment="1">
      <alignment vertical="top" wrapText="1"/>
    </xf>
    <xf numFmtId="0" fontId="0" fillId="0" borderId="24" xfId="0" applyBorder="1"/>
    <xf numFmtId="171" fontId="0" fillId="0" borderId="25" xfId="0" applyNumberFormat="1" applyBorder="1" applyAlignment="1">
      <alignment vertical="top" wrapText="1"/>
    </xf>
    <xf numFmtId="166" fontId="0" fillId="0" borderId="25" xfId="0" applyNumberFormat="1" applyBorder="1" applyAlignment="1">
      <alignment horizontal="center" vertical="top" wrapText="1"/>
    </xf>
    <xf numFmtId="3" fontId="30" fillId="0" borderId="25" xfId="0" applyNumberFormat="1" applyFont="1" applyBorder="1"/>
    <xf numFmtId="166" fontId="30" fillId="0" borderId="25" xfId="0" applyNumberFormat="1" applyFont="1" applyBorder="1"/>
    <xf numFmtId="165" fontId="30" fillId="0" borderId="25" xfId="0" applyNumberFormat="1" applyFont="1" applyBorder="1"/>
    <xf numFmtId="0" fontId="0" fillId="0" borderId="26" xfId="0" applyBorder="1"/>
    <xf numFmtId="171" fontId="0" fillId="0" borderId="27" xfId="0" applyNumberFormat="1" applyBorder="1" applyAlignment="1">
      <alignment vertical="top" wrapText="1"/>
    </xf>
    <xf numFmtId="9" fontId="0" fillId="0" borderId="27" xfId="0" applyNumberFormat="1" applyBorder="1" applyAlignment="1">
      <alignment horizontal="center" vertical="top" wrapText="1"/>
    </xf>
    <xf numFmtId="3" fontId="30" fillId="0" borderId="27" xfId="0" applyNumberFormat="1" applyFont="1" applyBorder="1"/>
    <xf numFmtId="166" fontId="30" fillId="0" borderId="27" xfId="0" applyNumberFormat="1" applyFont="1" applyBorder="1"/>
    <xf numFmtId="165" fontId="30" fillId="0" borderId="27" xfId="0" applyNumberFormat="1" applyFont="1" applyBorder="1"/>
    <xf numFmtId="0" fontId="0" fillId="0" borderId="23" xfId="0" applyBorder="1"/>
    <xf numFmtId="171" fontId="0" fillId="0" borderId="0" xfId="0" applyNumberFormat="1"/>
    <xf numFmtId="166" fontId="0" fillId="0" borderId="0" xfId="0" applyNumberFormat="1" applyAlignment="1">
      <alignment horizontal="center"/>
    </xf>
    <xf numFmtId="165" fontId="0" fillId="0" borderId="0" xfId="0" applyNumberFormat="1" applyAlignment="1">
      <alignment horizontal="right"/>
    </xf>
    <xf numFmtId="0" fontId="29" fillId="13" borderId="28" xfId="0" applyFont="1" applyFill="1" applyBorder="1"/>
    <xf numFmtId="3" fontId="30" fillId="13" borderId="15" xfId="0" applyNumberFormat="1" applyFont="1" applyFill="1" applyBorder="1" applyAlignment="1">
      <alignment horizontal="center"/>
    </xf>
    <xf numFmtId="166" fontId="30" fillId="13" borderId="15" xfId="0" applyNumberFormat="1" applyFont="1" applyFill="1" applyBorder="1"/>
    <xf numFmtId="3" fontId="30" fillId="13" borderId="15" xfId="0" applyNumberFormat="1" applyFont="1" applyFill="1" applyBorder="1"/>
    <xf numFmtId="165" fontId="30" fillId="13" borderId="15" xfId="0" applyNumberFormat="1" applyFont="1" applyFill="1" applyBorder="1" applyAlignment="1">
      <alignment horizontal="center"/>
    </xf>
    <xf numFmtId="166" fontId="30" fillId="13" borderId="15" xfId="0" applyNumberFormat="1" applyFont="1" applyFill="1" applyBorder="1" applyAlignment="1">
      <alignment horizontal="center"/>
    </xf>
    <xf numFmtId="172" fontId="0" fillId="0" borderId="0" xfId="0" applyNumberFormat="1"/>
    <xf numFmtId="169" fontId="0" fillId="0" borderId="0" xfId="0" applyNumberFormat="1"/>
    <xf numFmtId="167" fontId="0" fillId="0" borderId="0" xfId="0" applyNumberFormat="1" applyAlignment="1">
      <alignment horizontal="center"/>
    </xf>
    <xf numFmtId="0" fontId="4" fillId="11" borderId="29" xfId="0" applyFont="1" applyFill="1" applyBorder="1"/>
    <xf numFmtId="0" fontId="4" fillId="11" borderId="16" xfId="0" applyFont="1" applyFill="1" applyBorder="1"/>
    <xf numFmtId="0" fontId="33" fillId="11" borderId="22" xfId="0" applyFont="1" applyFill="1" applyBorder="1" applyAlignment="1">
      <alignment horizontal="center" wrapText="1"/>
    </xf>
    <xf numFmtId="0" fontId="27" fillId="11" borderId="16" xfId="0" applyFont="1" applyFill="1" applyBorder="1" applyAlignment="1">
      <alignment horizontal="center" wrapText="1"/>
    </xf>
    <xf numFmtId="165" fontId="27" fillId="11" borderId="16" xfId="0" applyNumberFormat="1" applyFont="1" applyFill="1" applyBorder="1" applyAlignment="1">
      <alignment horizontal="center" wrapText="1"/>
    </xf>
    <xf numFmtId="0" fontId="4" fillId="11" borderId="17" xfId="0" applyFont="1" applyFill="1" applyBorder="1" applyAlignment="1">
      <alignment wrapText="1"/>
    </xf>
    <xf numFmtId="0" fontId="29" fillId="13" borderId="23" xfId="0" applyFont="1" applyFill="1" applyBorder="1" applyAlignment="1">
      <alignment horizontal="left"/>
    </xf>
    <xf numFmtId="0" fontId="0" fillId="13" borderId="0" xfId="0" applyFill="1"/>
    <xf numFmtId="165" fontId="30" fillId="13" borderId="18" xfId="0" applyNumberFormat="1" applyFont="1" applyFill="1" applyBorder="1"/>
    <xf numFmtId="0" fontId="29" fillId="0" borderId="23" xfId="0" applyFont="1" applyBorder="1" applyAlignment="1">
      <alignment horizontal="left"/>
    </xf>
    <xf numFmtId="165" fontId="30" fillId="0" borderId="18" xfId="0" applyNumberFormat="1" applyFont="1" applyBorder="1"/>
    <xf numFmtId="0" fontId="0" fillId="0" borderId="25" xfId="0" applyBorder="1"/>
    <xf numFmtId="0" fontId="0" fillId="0" borderId="27" xfId="0" applyBorder="1"/>
    <xf numFmtId="0" fontId="0" fillId="0" borderId="18" xfId="0" applyBorder="1"/>
    <xf numFmtId="0" fontId="0" fillId="13" borderId="15" xfId="0" applyFill="1" applyBorder="1"/>
    <xf numFmtId="165" fontId="30" fillId="13" borderId="20" xfId="0" applyNumberFormat="1" applyFont="1" applyFill="1" applyBorder="1"/>
    <xf numFmtId="166" fontId="30" fillId="0" borderId="0" xfId="0" applyNumberFormat="1" applyFont="1" applyAlignment="1">
      <alignment horizontal="right"/>
    </xf>
    <xf numFmtId="3" fontId="25" fillId="12" borderId="0" xfId="0" applyNumberFormat="1" applyFont="1" applyFill="1" applyAlignment="1">
      <alignment horizontal="right"/>
    </xf>
    <xf numFmtId="3" fontId="30" fillId="13" borderId="0" xfId="0" applyNumberFormat="1" applyFont="1" applyFill="1" applyAlignment="1">
      <alignment horizontal="right"/>
    </xf>
    <xf numFmtId="166" fontId="30" fillId="13" borderId="0" xfId="0" applyNumberFormat="1" applyFont="1" applyFill="1" applyAlignment="1">
      <alignment horizontal="right"/>
    </xf>
    <xf numFmtId="165" fontId="30" fillId="13" borderId="0" xfId="0" applyNumberFormat="1" applyFont="1" applyFill="1" applyAlignment="1">
      <alignment horizontal="right"/>
    </xf>
    <xf numFmtId="165" fontId="30" fillId="13" borderId="18" xfId="0" applyNumberFormat="1" applyFont="1" applyFill="1" applyBorder="1" applyAlignment="1">
      <alignment horizontal="right"/>
    </xf>
    <xf numFmtId="175" fontId="25" fillId="12" borderId="0" xfId="0" applyNumberFormat="1" applyFont="1" applyFill="1" applyAlignment="1">
      <alignment horizontal="right"/>
    </xf>
    <xf numFmtId="165" fontId="30" fillId="0" borderId="0" xfId="0" applyNumberFormat="1" applyFont="1" applyAlignment="1">
      <alignment horizontal="right"/>
    </xf>
    <xf numFmtId="175" fontId="25" fillId="12" borderId="0" xfId="0" applyNumberFormat="1" applyFont="1" applyFill="1" applyAlignment="1">
      <alignment horizontal="right" wrapText="1"/>
    </xf>
    <xf numFmtId="168" fontId="15" fillId="0" borderId="0" xfId="0" applyNumberFormat="1" applyFont="1" applyAlignment="1">
      <alignment horizontal="center"/>
    </xf>
    <xf numFmtId="168" fontId="18" fillId="0" borderId="0" xfId="0" applyNumberFormat="1" applyFont="1" applyAlignment="1">
      <alignment horizontal="center"/>
    </xf>
    <xf numFmtId="168" fontId="12" fillId="0" borderId="0" xfId="0" applyNumberFormat="1" applyFont="1" applyAlignment="1">
      <alignment horizontal="center"/>
    </xf>
    <xf numFmtId="168" fontId="34" fillId="0" borderId="0" xfId="0" applyNumberFormat="1" applyFont="1" applyAlignment="1">
      <alignment horizontal="center"/>
    </xf>
    <xf numFmtId="9" fontId="2" fillId="0" borderId="0" xfId="1" applyFont="1"/>
    <xf numFmtId="168" fontId="2" fillId="3" borderId="0" xfId="0" applyNumberFormat="1" applyFont="1" applyFill="1"/>
    <xf numFmtId="168" fontId="12" fillId="0" borderId="16" xfId="0" applyNumberFormat="1" applyFont="1" applyBorder="1"/>
    <xf numFmtId="168" fontId="12" fillId="0" borderId="17" xfId="0" applyNumberFormat="1" applyFont="1" applyBorder="1"/>
    <xf numFmtId="168" fontId="12" fillId="0" borderId="18" xfId="0" applyNumberFormat="1" applyFont="1" applyBorder="1"/>
    <xf numFmtId="168" fontId="12" fillId="0" borderId="15" xfId="0" applyNumberFormat="1" applyFont="1" applyBorder="1"/>
    <xf numFmtId="167" fontId="12" fillId="0" borderId="16" xfId="0" applyNumberFormat="1" applyFont="1" applyBorder="1"/>
    <xf numFmtId="167" fontId="12" fillId="0" borderId="17" xfId="0" applyNumberFormat="1" applyFont="1" applyBorder="1"/>
    <xf numFmtId="167" fontId="12" fillId="0" borderId="0" xfId="0" applyNumberFormat="1" applyFont="1"/>
    <xf numFmtId="167" fontId="12" fillId="0" borderId="18" xfId="0" applyNumberFormat="1" applyFont="1" applyBorder="1"/>
    <xf numFmtId="1" fontId="22" fillId="0" borderId="0" xfId="0" applyNumberFormat="1" applyFont="1" applyAlignment="1">
      <alignment horizontal="center"/>
    </xf>
    <xf numFmtId="9" fontId="2" fillId="0" borderId="0" xfId="0" applyNumberFormat="1" applyFont="1"/>
    <xf numFmtId="167" fontId="12" fillId="0" borderId="15" xfId="0" applyNumberFormat="1" applyFont="1" applyBorder="1"/>
    <xf numFmtId="167" fontId="12" fillId="0" borderId="20" xfId="0" applyNumberFormat="1" applyFont="1" applyBorder="1"/>
    <xf numFmtId="175" fontId="30" fillId="14" borderId="0" xfId="0" applyNumberFormat="1" applyFont="1" applyFill="1" applyAlignment="1">
      <alignment horizontal="right" wrapText="1"/>
    </xf>
    <xf numFmtId="175" fontId="30" fillId="0" borderId="0" xfId="0" applyNumberFormat="1" applyFont="1" applyAlignment="1">
      <alignment horizontal="right"/>
    </xf>
    <xf numFmtId="3" fontId="30" fillId="0" borderId="0" xfId="0" applyNumberFormat="1" applyFont="1" applyAlignment="1">
      <alignment horizontal="right"/>
    </xf>
    <xf numFmtId="2" fontId="0" fillId="0" borderId="0" xfId="0" applyNumberFormat="1" applyAlignment="1">
      <alignment horizontal="right"/>
    </xf>
    <xf numFmtId="174" fontId="25" fillId="12" borderId="0" xfId="0" applyNumberFormat="1" applyFont="1" applyFill="1" applyAlignment="1">
      <alignment horizontal="right"/>
    </xf>
    <xf numFmtId="164" fontId="25" fillId="12" borderId="0" xfId="0" applyNumberFormat="1" applyFont="1" applyFill="1" applyAlignment="1">
      <alignment horizontal="right"/>
    </xf>
    <xf numFmtId="3" fontId="30" fillId="13" borderId="0" xfId="0" applyNumberFormat="1" applyFont="1" applyFill="1" applyAlignment="1">
      <alignment horizontal="right" wrapText="1"/>
    </xf>
    <xf numFmtId="2" fontId="0" fillId="13" borderId="0" xfId="0" applyNumberFormat="1" applyFill="1" applyAlignment="1">
      <alignment horizontal="right"/>
    </xf>
    <xf numFmtId="4" fontId="25" fillId="12" borderId="0" xfId="0" applyNumberFormat="1" applyFont="1" applyFill="1" applyAlignment="1">
      <alignment horizontal="right"/>
    </xf>
    <xf numFmtId="3" fontId="30" fillId="0" borderId="0" xfId="0" applyNumberFormat="1" applyFont="1" applyAlignment="1">
      <alignment horizontal="right" wrapText="1"/>
    </xf>
    <xf numFmtId="171" fontId="0" fillId="13" borderId="0" xfId="0" applyNumberFormat="1" applyFill="1" applyAlignment="1">
      <alignment horizontal="right" wrapText="1"/>
    </xf>
    <xf numFmtId="171" fontId="0" fillId="13" borderId="0" xfId="0" applyNumberFormat="1" applyFill="1" applyAlignment="1">
      <alignment horizontal="right"/>
    </xf>
    <xf numFmtId="171" fontId="32" fillId="13" borderId="0" xfId="0" applyNumberFormat="1" applyFont="1" applyFill="1" applyAlignment="1">
      <alignment horizontal="right"/>
    </xf>
    <xf numFmtId="166" fontId="32" fillId="13" borderId="0" xfId="0" applyNumberFormat="1" applyFont="1" applyFill="1" applyAlignment="1">
      <alignment horizontal="right"/>
    </xf>
    <xf numFmtId="166" fontId="0" fillId="13" borderId="0" xfId="0" applyNumberFormat="1" applyFill="1" applyAlignment="1">
      <alignment horizontal="right"/>
    </xf>
    <xf numFmtId="167" fontId="0" fillId="13" borderId="0" xfId="0" applyNumberFormat="1" applyFill="1" applyAlignment="1">
      <alignment horizontal="right"/>
    </xf>
    <xf numFmtId="165" fontId="0" fillId="13" borderId="0" xfId="0" applyNumberFormat="1" applyFill="1" applyAlignment="1">
      <alignment horizontal="right"/>
    </xf>
    <xf numFmtId="172" fontId="32" fillId="13" borderId="0" xfId="0" applyNumberFormat="1" applyFont="1" applyFill="1" applyAlignment="1">
      <alignment horizontal="right"/>
    </xf>
    <xf numFmtId="173" fontId="0" fillId="13" borderId="0" xfId="0" applyNumberFormat="1" applyFill="1" applyAlignment="1">
      <alignment horizontal="right"/>
    </xf>
    <xf numFmtId="3" fontId="30" fillId="0" borderId="25" xfId="0" applyNumberFormat="1" applyFont="1" applyBorder="1" applyAlignment="1">
      <alignment horizontal="right"/>
    </xf>
    <xf numFmtId="166" fontId="30" fillId="0" borderId="25" xfId="0" applyNumberFormat="1" applyFont="1" applyBorder="1" applyAlignment="1">
      <alignment horizontal="right"/>
    </xf>
    <xf numFmtId="171" fontId="0" fillId="0" borderId="25" xfId="0" applyNumberFormat="1" applyBorder="1" applyAlignment="1">
      <alignment horizontal="right"/>
    </xf>
    <xf numFmtId="165" fontId="30" fillId="0" borderId="25" xfId="0" applyNumberFormat="1" applyFont="1" applyBorder="1" applyAlignment="1">
      <alignment horizontal="right"/>
    </xf>
    <xf numFmtId="4" fontId="30" fillId="0" borderId="25" xfId="0" applyNumberFormat="1" applyFont="1" applyBorder="1" applyAlignment="1">
      <alignment horizontal="right"/>
    </xf>
    <xf numFmtId="3" fontId="30" fillId="0" borderId="27" xfId="0" applyNumberFormat="1" applyFont="1" applyBorder="1" applyAlignment="1">
      <alignment horizontal="right"/>
    </xf>
    <xf numFmtId="166" fontId="30" fillId="0" borderId="27" xfId="0" applyNumberFormat="1" applyFont="1" applyBorder="1" applyAlignment="1">
      <alignment horizontal="right"/>
    </xf>
    <xf numFmtId="171" fontId="0" fillId="0" borderId="27" xfId="0" applyNumberFormat="1" applyBorder="1" applyAlignment="1">
      <alignment horizontal="right"/>
    </xf>
    <xf numFmtId="165" fontId="30" fillId="0" borderId="27" xfId="0" applyNumberFormat="1" applyFont="1" applyBorder="1" applyAlignment="1">
      <alignment horizontal="right"/>
    </xf>
    <xf numFmtId="4" fontId="30" fillId="0" borderId="27" xfId="0" applyNumberFormat="1" applyFont="1" applyBorder="1" applyAlignment="1">
      <alignment horizontal="right"/>
    </xf>
    <xf numFmtId="166" fontId="0" fillId="0" borderId="0" xfId="0" applyNumberFormat="1" applyAlignment="1">
      <alignment horizontal="right"/>
    </xf>
    <xf numFmtId="171" fontId="0" fillId="0" borderId="0" xfId="0" applyNumberFormat="1" applyAlignment="1">
      <alignment horizontal="right"/>
    </xf>
    <xf numFmtId="0" fontId="0" fillId="0" borderId="0" xfId="0" applyAlignment="1">
      <alignment horizontal="right"/>
    </xf>
    <xf numFmtId="3" fontId="30" fillId="13" borderId="15" xfId="0" applyNumberFormat="1" applyFont="1" applyFill="1" applyBorder="1" applyAlignment="1">
      <alignment horizontal="right" wrapText="1"/>
    </xf>
    <xf numFmtId="3" fontId="30" fillId="13" borderId="15" xfId="0" applyNumberFormat="1" applyFont="1" applyFill="1" applyBorder="1" applyAlignment="1">
      <alignment horizontal="right"/>
    </xf>
    <xf numFmtId="3" fontId="25" fillId="0" borderId="15" xfId="0" applyNumberFormat="1" applyFont="1" applyBorder="1" applyAlignment="1">
      <alignment horizontal="right"/>
    </xf>
    <xf numFmtId="166" fontId="30" fillId="13" borderId="15" xfId="0" applyNumberFormat="1" applyFont="1" applyFill="1" applyBorder="1" applyAlignment="1">
      <alignment horizontal="right"/>
    </xf>
    <xf numFmtId="165" fontId="30" fillId="13" borderId="15" xfId="0" applyNumberFormat="1" applyFont="1" applyFill="1" applyBorder="1" applyAlignment="1">
      <alignment horizontal="right"/>
    </xf>
    <xf numFmtId="4" fontId="25" fillId="0" borderId="15" xfId="0" applyNumberFormat="1" applyFont="1" applyBorder="1" applyAlignment="1">
      <alignment horizontal="right"/>
    </xf>
    <xf numFmtId="168" fontId="2" fillId="0" borderId="0" xfId="0" applyNumberFormat="1" applyFont="1" applyAlignment="1">
      <alignment horizontal="left"/>
    </xf>
    <xf numFmtId="166" fontId="0" fillId="0" borderId="0" xfId="0" applyNumberFormat="1"/>
    <xf numFmtId="168" fontId="0" fillId="0" borderId="0" xfId="10" applyNumberFormat="1" applyFont="1"/>
    <xf numFmtId="166" fontId="2" fillId="0" borderId="0" xfId="0" applyNumberFormat="1" applyFont="1"/>
    <xf numFmtId="168" fontId="0" fillId="0" borderId="0" xfId="1" applyNumberFormat="1" applyFont="1" applyBorder="1"/>
    <xf numFmtId="168" fontId="2" fillId="0" borderId="0" xfId="1" applyNumberFormat="1" applyFont="1" applyBorder="1"/>
    <xf numFmtId="168" fontId="0" fillId="0" borderId="18" xfId="0" applyNumberFormat="1" applyBorder="1"/>
    <xf numFmtId="0" fontId="0" fillId="0" borderId="28" xfId="0" applyBorder="1"/>
    <xf numFmtId="168" fontId="12" fillId="0" borderId="20" xfId="0" applyNumberFormat="1" applyFont="1" applyBorder="1"/>
    <xf numFmtId="0" fontId="0" fillId="0" borderId="1" xfId="0" applyBorder="1"/>
    <xf numFmtId="168" fontId="12" fillId="0" borderId="38" xfId="0" applyNumberFormat="1" applyFont="1" applyBorder="1"/>
    <xf numFmtId="168" fontId="12" fillId="0" borderId="3" xfId="0" applyNumberFormat="1" applyFont="1" applyBorder="1"/>
    <xf numFmtId="168" fontId="18" fillId="0" borderId="18" xfId="0" applyNumberFormat="1" applyFont="1" applyBorder="1"/>
    <xf numFmtId="168" fontId="34" fillId="0" borderId="0" xfId="10" applyNumberFormat="1" applyFont="1"/>
    <xf numFmtId="0" fontId="0" fillId="7" borderId="0" xfId="0" applyFill="1"/>
    <xf numFmtId="168" fontId="34" fillId="0" borderId="0" xfId="0" applyNumberFormat="1" applyFont="1"/>
    <xf numFmtId="167" fontId="0" fillId="0" borderId="0" xfId="0" applyNumberFormat="1"/>
    <xf numFmtId="167" fontId="2" fillId="0" borderId="0" xfId="0" applyNumberFormat="1" applyFont="1"/>
    <xf numFmtId="0" fontId="8" fillId="7" borderId="10" xfId="2" applyFont="1" applyFill="1" applyBorder="1" applyAlignment="1">
      <alignment wrapText="1"/>
    </xf>
    <xf numFmtId="177" fontId="2" fillId="0" borderId="0" xfId="0" applyNumberFormat="1" applyFont="1"/>
    <xf numFmtId="166" fontId="0" fillId="7" borderId="0" xfId="0" applyNumberFormat="1" applyFill="1"/>
    <xf numFmtId="0" fontId="31" fillId="0" borderId="0" xfId="0" applyFont="1" applyAlignment="1">
      <alignment horizontal="right"/>
    </xf>
    <xf numFmtId="0" fontId="31" fillId="0" borderId="0" xfId="0" applyFont="1"/>
    <xf numFmtId="169" fontId="31" fillId="0" borderId="0" xfId="0" applyNumberFormat="1" applyFont="1"/>
    <xf numFmtId="178" fontId="0" fillId="0" borderId="0" xfId="0" applyNumberFormat="1"/>
    <xf numFmtId="168" fontId="4" fillId="2" borderId="0" xfId="0" applyNumberFormat="1" applyFont="1" applyFill="1" applyAlignment="1">
      <alignment horizontal="center"/>
    </xf>
    <xf numFmtId="179" fontId="0" fillId="0" borderId="0" xfId="0" applyNumberFormat="1"/>
    <xf numFmtId="165" fontId="0" fillId="0" borderId="0" xfId="0" applyNumberFormat="1"/>
    <xf numFmtId="170" fontId="15" fillId="0" borderId="0" xfId="0" applyNumberFormat="1" applyFont="1"/>
    <xf numFmtId="166" fontId="37" fillId="0" borderId="0" xfId="0" applyNumberFormat="1" applyFont="1"/>
    <xf numFmtId="167" fontId="37" fillId="0" borderId="0" xfId="0" applyNumberFormat="1" applyFont="1"/>
    <xf numFmtId="166" fontId="22" fillId="0" borderId="0" xfId="1" applyNumberFormat="1" applyFont="1"/>
    <xf numFmtId="0" fontId="3" fillId="0" borderId="0" xfId="0" applyFont="1"/>
    <xf numFmtId="10" fontId="2" fillId="14" borderId="0" xfId="0" applyNumberFormat="1" applyFont="1" applyFill="1" applyAlignment="1">
      <alignment horizontal="right"/>
    </xf>
    <xf numFmtId="0" fontId="9" fillId="0" borderId="0" xfId="2" applyFont="1" applyAlignment="1">
      <alignment wrapText="1"/>
    </xf>
    <xf numFmtId="0" fontId="8" fillId="0" borderId="0" xfId="2" applyFont="1" applyAlignment="1">
      <alignment horizontal="center" vertical="center" wrapText="1"/>
    </xf>
    <xf numFmtId="0" fontId="8" fillId="0" borderId="0" xfId="2" applyFont="1" applyAlignment="1">
      <alignment horizontal="center" wrapText="1"/>
    </xf>
    <xf numFmtId="0" fontId="7" fillId="0" borderId="0" xfId="2" applyFont="1" applyAlignment="1">
      <alignment wrapText="1"/>
    </xf>
    <xf numFmtId="0" fontId="5" fillId="0" borderId="0" xfId="2"/>
    <xf numFmtId="0" fontId="5" fillId="0" borderId="0" xfId="2" quotePrefix="1" applyAlignment="1">
      <alignment horizontal="center"/>
    </xf>
    <xf numFmtId="0" fontId="9" fillId="0" borderId="0" xfId="2" applyFont="1"/>
    <xf numFmtId="0" fontId="5" fillId="0" borderId="0" xfId="2" applyAlignment="1">
      <alignment horizontal="center"/>
    </xf>
    <xf numFmtId="0" fontId="3" fillId="0" borderId="1" xfId="2" applyFont="1" applyBorder="1" applyAlignment="1">
      <alignment horizontal="center" vertical="center" wrapText="1"/>
    </xf>
    <xf numFmtId="176" fontId="0" fillId="0" borderId="0" xfId="0" applyNumberFormat="1"/>
    <xf numFmtId="176" fontId="0" fillId="15" borderId="0" xfId="0" applyNumberFormat="1" applyFill="1"/>
    <xf numFmtId="166" fontId="0" fillId="3" borderId="0" xfId="1" applyNumberFormat="1" applyFont="1" applyFill="1" applyAlignment="1">
      <alignment horizontal="center"/>
    </xf>
    <xf numFmtId="166" fontId="2" fillId="14" borderId="0" xfId="0" applyNumberFormat="1" applyFont="1" applyFill="1" applyAlignment="1">
      <alignment horizontal="right"/>
    </xf>
    <xf numFmtId="4" fontId="0" fillId="0" borderId="0" xfId="0" applyNumberFormat="1"/>
    <xf numFmtId="166" fontId="2" fillId="16" borderId="0" xfId="0" applyNumberFormat="1" applyFont="1" applyFill="1" applyAlignment="1">
      <alignment horizontal="right"/>
    </xf>
    <xf numFmtId="166" fontId="2" fillId="16" borderId="0" xfId="1" applyNumberFormat="1" applyFont="1" applyFill="1"/>
    <xf numFmtId="166" fontId="2" fillId="16" borderId="0" xfId="1" applyNumberFormat="1" applyFont="1" applyFill="1" applyAlignment="1">
      <alignment horizontal="right"/>
    </xf>
    <xf numFmtId="4" fontId="2" fillId="0" borderId="0" xfId="0" applyNumberFormat="1" applyFont="1"/>
    <xf numFmtId="179" fontId="0" fillId="16" borderId="0" xfId="0" applyNumberFormat="1" applyFill="1"/>
    <xf numFmtId="0" fontId="38" fillId="0" borderId="0" xfId="0" applyFont="1"/>
    <xf numFmtId="0" fontId="39" fillId="0" borderId="0" xfId="0" applyFont="1"/>
    <xf numFmtId="168" fontId="38" fillId="0" borderId="0" xfId="0" applyNumberFormat="1" applyFont="1"/>
    <xf numFmtId="0" fontId="44" fillId="0" borderId="0" xfId="0" applyFont="1"/>
    <xf numFmtId="166" fontId="38" fillId="0" borderId="0" xfId="1" applyNumberFormat="1" applyFont="1" applyAlignment="1">
      <alignment horizontal="right"/>
    </xf>
    <xf numFmtId="166" fontId="39" fillId="0" borderId="0" xfId="1" applyNumberFormat="1" applyFont="1" applyAlignment="1">
      <alignment horizontal="right"/>
    </xf>
    <xf numFmtId="9" fontId="38" fillId="0" borderId="0" xfId="1" applyFont="1"/>
    <xf numFmtId="166" fontId="38" fillId="3" borderId="0" xfId="1" applyNumberFormat="1" applyFont="1" applyFill="1" applyAlignment="1">
      <alignment horizontal="center"/>
    </xf>
    <xf numFmtId="0" fontId="48" fillId="0" borderId="0" xfId="2" applyFont="1" applyAlignment="1">
      <alignment wrapText="1"/>
    </xf>
    <xf numFmtId="0" fontId="38" fillId="0" borderId="0" xfId="2" applyFont="1" applyAlignment="1">
      <alignment wrapText="1"/>
    </xf>
    <xf numFmtId="0" fontId="38" fillId="0" borderId="0" xfId="2" applyFont="1" applyAlignment="1">
      <alignment horizontal="center" wrapText="1"/>
    </xf>
    <xf numFmtId="0" fontId="48" fillId="0" borderId="0" xfId="2" applyFont="1" applyAlignment="1">
      <alignment horizontal="center" vertical="center" wrapText="1"/>
    </xf>
    <xf numFmtId="0" fontId="48" fillId="0" borderId="0" xfId="2" applyFont="1" applyAlignment="1">
      <alignment horizontal="center" wrapText="1"/>
    </xf>
    <xf numFmtId="0" fontId="44" fillId="0" borderId="0" xfId="2" applyFont="1" applyAlignment="1">
      <alignment wrapText="1"/>
    </xf>
    <xf numFmtId="164" fontId="38" fillId="0" borderId="0" xfId="0" applyNumberFormat="1" applyFont="1"/>
    <xf numFmtId="0" fontId="38" fillId="0" borderId="0" xfId="2" applyFont="1"/>
    <xf numFmtId="0" fontId="38" fillId="0" borderId="0" xfId="2" quotePrefix="1" applyFont="1" applyAlignment="1">
      <alignment horizontal="center"/>
    </xf>
    <xf numFmtId="0" fontId="38" fillId="0" borderId="0" xfId="2" applyFont="1" applyAlignment="1">
      <alignment horizontal="center"/>
    </xf>
    <xf numFmtId="0" fontId="45" fillId="0" borderId="0" xfId="0" applyFont="1"/>
    <xf numFmtId="1" fontId="43" fillId="0" borderId="0" xfId="0" applyNumberFormat="1" applyFont="1" applyAlignment="1">
      <alignment horizontal="center"/>
    </xf>
    <xf numFmtId="168" fontId="45" fillId="0" borderId="38" xfId="0" applyNumberFormat="1" applyFont="1" applyBorder="1"/>
    <xf numFmtId="168" fontId="45" fillId="0" borderId="3" xfId="0" applyNumberFormat="1" applyFont="1" applyBorder="1"/>
    <xf numFmtId="0" fontId="38" fillId="0" borderId="23" xfId="0" applyFont="1" applyBorder="1"/>
    <xf numFmtId="168" fontId="38" fillId="0" borderId="18" xfId="0" applyNumberFormat="1" applyFont="1" applyBorder="1"/>
    <xf numFmtId="168" fontId="41" fillId="0" borderId="18" xfId="0" applyNumberFormat="1" applyFont="1" applyBorder="1"/>
    <xf numFmtId="0" fontId="38" fillId="0" borderId="28" xfId="0" applyFont="1" applyBorder="1"/>
    <xf numFmtId="168" fontId="45" fillId="0" borderId="15" xfId="0" applyNumberFormat="1" applyFont="1" applyBorder="1"/>
    <xf numFmtId="168" fontId="45" fillId="0" borderId="20" xfId="0" applyNumberFormat="1" applyFont="1" applyBorder="1"/>
    <xf numFmtId="168" fontId="39" fillId="0" borderId="0" xfId="0" applyNumberFormat="1" applyFont="1"/>
    <xf numFmtId="166" fontId="38" fillId="0" borderId="0" xfId="1" applyNumberFormat="1" applyFont="1"/>
    <xf numFmtId="166" fontId="39" fillId="0" borderId="0" xfId="0" applyNumberFormat="1" applyFont="1"/>
    <xf numFmtId="170" fontId="38" fillId="0" borderId="0" xfId="0" applyNumberFormat="1" applyFont="1"/>
    <xf numFmtId="166" fontId="39" fillId="0" borderId="0" xfId="1" applyNumberFormat="1" applyFont="1"/>
    <xf numFmtId="168" fontId="38" fillId="0" borderId="0" xfId="1" applyNumberFormat="1" applyFont="1" applyBorder="1"/>
    <xf numFmtId="168" fontId="39" fillId="0" borderId="0" xfId="1" applyNumberFormat="1" applyFont="1" applyBorder="1"/>
    <xf numFmtId="44" fontId="45" fillId="0" borderId="0" xfId="0" applyNumberFormat="1" applyFont="1"/>
    <xf numFmtId="44" fontId="38" fillId="0" borderId="0" xfId="1" applyNumberFormat="1" applyFont="1"/>
    <xf numFmtId="44" fontId="39" fillId="0" borderId="0" xfId="1" applyNumberFormat="1" applyFont="1"/>
    <xf numFmtId="0" fontId="45" fillId="0" borderId="29" xfId="0" applyFont="1" applyBorder="1"/>
    <xf numFmtId="168" fontId="45" fillId="0" borderId="16" xfId="0" applyNumberFormat="1" applyFont="1" applyBorder="1"/>
    <xf numFmtId="168" fontId="45" fillId="0" borderId="17" xfId="0" applyNumberFormat="1" applyFont="1" applyBorder="1"/>
    <xf numFmtId="0" fontId="45" fillId="0" borderId="23" xfId="0" applyFont="1" applyBorder="1"/>
    <xf numFmtId="168" fontId="45" fillId="0" borderId="18" xfId="0" applyNumberFormat="1" applyFont="1" applyBorder="1"/>
    <xf numFmtId="167" fontId="45" fillId="0" borderId="16" xfId="0" applyNumberFormat="1" applyFont="1" applyBorder="1"/>
    <xf numFmtId="167" fontId="45" fillId="0" borderId="17" xfId="0" applyNumberFormat="1" applyFont="1" applyBorder="1"/>
    <xf numFmtId="167" fontId="45" fillId="0" borderId="18" xfId="0" applyNumberFormat="1" applyFont="1" applyBorder="1"/>
    <xf numFmtId="0" fontId="45" fillId="0" borderId="28" xfId="0" applyFont="1" applyBorder="1"/>
    <xf numFmtId="167" fontId="45" fillId="0" borderId="15" xfId="0" applyNumberFormat="1" applyFont="1" applyBorder="1"/>
    <xf numFmtId="167" fontId="45" fillId="0" borderId="20" xfId="0" applyNumberFormat="1" applyFont="1" applyBorder="1"/>
    <xf numFmtId="0" fontId="40" fillId="2" borderId="29" xfId="0" applyFont="1" applyFill="1" applyBorder="1"/>
    <xf numFmtId="1" fontId="40" fillId="2" borderId="16" xfId="0" applyNumberFormat="1" applyFont="1" applyFill="1" applyBorder="1" applyAlignment="1">
      <alignment horizontal="center"/>
    </xf>
    <xf numFmtId="1" fontId="40" fillId="2" borderId="17" xfId="0" applyNumberFormat="1" applyFont="1" applyFill="1" applyBorder="1" applyAlignment="1">
      <alignment horizontal="center"/>
    </xf>
    <xf numFmtId="0" fontId="38" fillId="3" borderId="0" xfId="0" applyFont="1" applyFill="1"/>
    <xf numFmtId="0" fontId="38" fillId="3" borderId="18" xfId="0" applyFont="1" applyFill="1" applyBorder="1"/>
    <xf numFmtId="166" fontId="38" fillId="0" borderId="0" xfId="0" applyNumberFormat="1" applyFont="1"/>
    <xf numFmtId="167" fontId="39" fillId="0" borderId="18" xfId="0" applyNumberFormat="1" applyFont="1" applyBorder="1"/>
    <xf numFmtId="9" fontId="39" fillId="0" borderId="18" xfId="1" applyFont="1" applyBorder="1"/>
    <xf numFmtId="167" fontId="38" fillId="0" borderId="18" xfId="0" applyNumberFormat="1" applyFont="1" applyBorder="1"/>
    <xf numFmtId="166" fontId="39" fillId="0" borderId="18" xfId="0" applyNumberFormat="1" applyFont="1" applyBorder="1"/>
    <xf numFmtId="167" fontId="52" fillId="0" borderId="18" xfId="0" applyNumberFormat="1" applyFont="1" applyBorder="1"/>
    <xf numFmtId="170" fontId="38" fillId="0" borderId="18" xfId="0" applyNumberFormat="1" applyFont="1" applyBorder="1"/>
    <xf numFmtId="0" fontId="38" fillId="0" borderId="18" xfId="0" applyFont="1" applyBorder="1"/>
    <xf numFmtId="166" fontId="38" fillId="0" borderId="0" xfId="1" applyNumberFormat="1" applyFont="1" applyBorder="1"/>
    <xf numFmtId="165" fontId="38" fillId="0" borderId="0" xfId="0" applyNumberFormat="1" applyFont="1"/>
    <xf numFmtId="165" fontId="38" fillId="0" borderId="18" xfId="0" applyNumberFormat="1" applyFont="1" applyBorder="1"/>
    <xf numFmtId="168" fontId="42" fillId="0" borderId="0" xfId="0" applyNumberFormat="1" applyFont="1"/>
    <xf numFmtId="9" fontId="39" fillId="0" borderId="0" xfId="0" applyNumberFormat="1" applyFont="1"/>
    <xf numFmtId="9" fontId="39" fillId="0" borderId="18" xfId="0" applyNumberFormat="1" applyFont="1" applyBorder="1"/>
    <xf numFmtId="167" fontId="38" fillId="0" borderId="0" xfId="0" applyNumberFormat="1" applyFont="1"/>
    <xf numFmtId="4" fontId="39" fillId="0" borderId="0" xfId="0" applyNumberFormat="1" applyFont="1"/>
    <xf numFmtId="170" fontId="42" fillId="0" borderId="0" xfId="0" applyNumberFormat="1" applyFont="1"/>
    <xf numFmtId="170" fontId="42" fillId="0" borderId="18" xfId="0" applyNumberFormat="1" applyFont="1" applyBorder="1"/>
    <xf numFmtId="0" fontId="38" fillId="0" borderId="15" xfId="0" applyFont="1" applyBorder="1"/>
    <xf numFmtId="0" fontId="45" fillId="0" borderId="15" xfId="0" applyFont="1" applyBorder="1"/>
    <xf numFmtId="168" fontId="39" fillId="0" borderId="15" xfId="0" applyNumberFormat="1" applyFont="1" applyBorder="1"/>
    <xf numFmtId="168" fontId="39" fillId="0" borderId="20" xfId="0" applyNumberFormat="1" applyFont="1" applyBorder="1"/>
    <xf numFmtId="166" fontId="38" fillId="0" borderId="18" xfId="0" applyNumberFormat="1" applyFont="1" applyBorder="1"/>
    <xf numFmtId="166" fontId="52" fillId="0" borderId="18" xfId="0" applyNumberFormat="1" applyFont="1" applyBorder="1"/>
    <xf numFmtId="177" fontId="39" fillId="0" borderId="18" xfId="0" applyNumberFormat="1" applyFont="1" applyBorder="1"/>
    <xf numFmtId="166" fontId="38" fillId="0" borderId="18" xfId="1" applyNumberFormat="1" applyFont="1" applyBorder="1"/>
    <xf numFmtId="166" fontId="43" fillId="0" borderId="18" xfId="1" applyNumberFormat="1" applyFont="1" applyBorder="1"/>
    <xf numFmtId="0" fontId="38" fillId="7" borderId="28" xfId="0" applyFont="1" applyFill="1" applyBorder="1"/>
    <xf numFmtId="0" fontId="38" fillId="7" borderId="15" xfId="0" applyFont="1" applyFill="1" applyBorder="1"/>
    <xf numFmtId="166" fontId="38" fillId="7" borderId="20" xfId="0" applyNumberFormat="1" applyFont="1" applyFill="1" applyBorder="1"/>
    <xf numFmtId="0" fontId="40" fillId="2" borderId="1" xfId="0" applyFont="1" applyFill="1" applyBorder="1"/>
    <xf numFmtId="1" fontId="40" fillId="2" borderId="38" xfId="0" applyNumberFormat="1" applyFont="1" applyFill="1" applyBorder="1" applyAlignment="1">
      <alignment horizontal="center"/>
    </xf>
    <xf numFmtId="1" fontId="40" fillId="2" borderId="3" xfId="0" applyNumberFormat="1" applyFont="1" applyFill="1" applyBorder="1" applyAlignment="1">
      <alignment horizontal="center"/>
    </xf>
    <xf numFmtId="1" fontId="40" fillId="2" borderId="1" xfId="0" applyNumberFormat="1" applyFont="1" applyFill="1" applyBorder="1" applyAlignment="1">
      <alignment horizontal="center"/>
    </xf>
    <xf numFmtId="170" fontId="38" fillId="0" borderId="20" xfId="0" applyNumberFormat="1" applyFont="1" applyBorder="1"/>
    <xf numFmtId="0" fontId="38" fillId="3" borderId="16" xfId="0" applyFont="1" applyFill="1" applyBorder="1"/>
    <xf numFmtId="168" fontId="42" fillId="0" borderId="18" xfId="0" applyNumberFormat="1" applyFont="1" applyBorder="1"/>
    <xf numFmtId="168" fontId="43" fillId="0" borderId="0" xfId="0" applyNumberFormat="1" applyFont="1"/>
    <xf numFmtId="168" fontId="43" fillId="0" borderId="18" xfId="0" applyNumberFormat="1" applyFont="1" applyBorder="1"/>
    <xf numFmtId="0" fontId="51" fillId="0" borderId="23" xfId="0" applyFont="1" applyBorder="1" applyAlignment="1">
      <alignment horizontal="right"/>
    </xf>
    <xf numFmtId="0" fontId="51" fillId="0" borderId="0" xfId="0" applyFont="1"/>
    <xf numFmtId="169" fontId="51" fillId="0" borderId="0" xfId="0" applyNumberFormat="1" applyFont="1"/>
    <xf numFmtId="169" fontId="51" fillId="0" borderId="18" xfId="0" applyNumberFormat="1" applyFont="1" applyBorder="1"/>
    <xf numFmtId="178" fontId="38" fillId="0" borderId="0" xfId="0" applyNumberFormat="1" applyFont="1"/>
    <xf numFmtId="178" fontId="38" fillId="0" borderId="18" xfId="0" applyNumberFormat="1" applyFont="1" applyBorder="1"/>
    <xf numFmtId="168" fontId="38" fillId="0" borderId="20" xfId="0" applyNumberFormat="1" applyFont="1" applyBorder="1"/>
    <xf numFmtId="0" fontId="40" fillId="2" borderId="36" xfId="0" applyFont="1" applyFill="1" applyBorder="1"/>
    <xf numFmtId="168" fontId="40" fillId="2" borderId="25" xfId="0" applyNumberFormat="1" applyFont="1" applyFill="1" applyBorder="1" applyAlignment="1">
      <alignment horizontal="center"/>
    </xf>
    <xf numFmtId="168" fontId="40" fillId="2" borderId="39" xfId="0" applyNumberFormat="1" applyFont="1" applyFill="1" applyBorder="1" applyAlignment="1">
      <alignment horizontal="center"/>
    </xf>
    <xf numFmtId="0" fontId="45" fillId="0" borderId="40" xfId="0" applyFont="1" applyBorder="1"/>
    <xf numFmtId="168" fontId="41" fillId="0" borderId="0" xfId="0" applyNumberFormat="1" applyFont="1"/>
    <xf numFmtId="168" fontId="38" fillId="0" borderId="41" xfId="0" applyNumberFormat="1" applyFont="1" applyBorder="1"/>
    <xf numFmtId="168" fontId="39" fillId="0" borderId="41" xfId="0" applyNumberFormat="1" applyFont="1" applyBorder="1"/>
    <xf numFmtId="168" fontId="45" fillId="0" borderId="0" xfId="0" applyNumberFormat="1" applyFont="1"/>
    <xf numFmtId="168" fontId="45" fillId="0" borderId="41" xfId="0" applyNumberFormat="1" applyFont="1" applyBorder="1"/>
    <xf numFmtId="168" fontId="46" fillId="0" borderId="0" xfId="0" applyNumberFormat="1" applyFont="1"/>
    <xf numFmtId="168" fontId="42" fillId="0" borderId="41" xfId="0" applyNumberFormat="1" applyFont="1" applyBorder="1"/>
    <xf numFmtId="166" fontId="45" fillId="0" borderId="0" xfId="1" applyNumberFormat="1" applyFont="1" applyBorder="1"/>
    <xf numFmtId="166" fontId="39" fillId="0" borderId="0" xfId="1" applyNumberFormat="1" applyFont="1" applyBorder="1"/>
    <xf numFmtId="166" fontId="39" fillId="0" borderId="41" xfId="1" applyNumberFormat="1" applyFont="1" applyBorder="1"/>
    <xf numFmtId="0" fontId="45" fillId="0" borderId="34" xfId="0" applyFont="1" applyBorder="1"/>
    <xf numFmtId="166" fontId="45" fillId="0" borderId="27" xfId="1" applyNumberFormat="1" applyFont="1" applyBorder="1"/>
    <xf numFmtId="166" fontId="39" fillId="0" borderId="27" xfId="1" applyNumberFormat="1" applyFont="1" applyBorder="1"/>
    <xf numFmtId="166" fontId="39" fillId="0" borderId="13" xfId="1" applyNumberFormat="1" applyFont="1" applyBorder="1"/>
    <xf numFmtId="168" fontId="39" fillId="3" borderId="0" xfId="0" applyNumberFormat="1" applyFont="1" applyFill="1"/>
    <xf numFmtId="168" fontId="45" fillId="3" borderId="0" xfId="0" applyNumberFormat="1" applyFont="1" applyFill="1"/>
    <xf numFmtId="168" fontId="45" fillId="3" borderId="18" xfId="0" applyNumberFormat="1" applyFont="1" applyFill="1" applyBorder="1"/>
    <xf numFmtId="168" fontId="49" fillId="0" borderId="0" xfId="0" applyNumberFormat="1" applyFont="1"/>
    <xf numFmtId="168" fontId="49" fillId="0" borderId="18" xfId="0" applyNumberFormat="1" applyFont="1" applyBorder="1"/>
    <xf numFmtId="168" fontId="39" fillId="0" borderId="18" xfId="0" applyNumberFormat="1" applyFont="1" applyBorder="1"/>
    <xf numFmtId="166" fontId="39" fillId="0" borderId="18" xfId="1" applyNumberFormat="1" applyFont="1" applyBorder="1"/>
    <xf numFmtId="168" fontId="50" fillId="0" borderId="0" xfId="0" applyNumberFormat="1" applyFont="1"/>
    <xf numFmtId="168" fontId="50" fillId="0" borderId="18" xfId="0" applyNumberFormat="1" applyFont="1" applyBorder="1"/>
    <xf numFmtId="167" fontId="45" fillId="0" borderId="0" xfId="0" applyNumberFormat="1" applyFont="1"/>
    <xf numFmtId="1" fontId="45" fillId="3" borderId="25" xfId="0" applyNumberFormat="1" applyFont="1" applyFill="1" applyBorder="1" applyAlignment="1">
      <alignment horizontal="center"/>
    </xf>
    <xf numFmtId="1" fontId="45" fillId="3" borderId="39" xfId="0" applyNumberFormat="1" applyFont="1" applyFill="1" applyBorder="1" applyAlignment="1">
      <alignment horizontal="center"/>
    </xf>
    <xf numFmtId="168" fontId="41" fillId="0" borderId="0" xfId="0" applyNumberFormat="1" applyFont="1" applyAlignment="1">
      <alignment horizontal="center"/>
    </xf>
    <xf numFmtId="168" fontId="45" fillId="0" borderId="0" xfId="0" applyNumberFormat="1" applyFont="1" applyAlignment="1">
      <alignment horizontal="center"/>
    </xf>
    <xf numFmtId="168" fontId="45" fillId="0" borderId="41" xfId="0" applyNumberFormat="1" applyFont="1" applyBorder="1" applyAlignment="1">
      <alignment horizontal="center"/>
    </xf>
    <xf numFmtId="168" fontId="49" fillId="0" borderId="0" xfId="0" applyNumberFormat="1" applyFont="1" applyAlignment="1">
      <alignment horizontal="center"/>
    </xf>
    <xf numFmtId="168" fontId="49" fillId="0" borderId="41" xfId="0" applyNumberFormat="1" applyFont="1" applyBorder="1" applyAlignment="1">
      <alignment horizontal="center"/>
    </xf>
    <xf numFmtId="168" fontId="39" fillId="0" borderId="41" xfId="1" applyNumberFormat="1" applyFont="1" applyBorder="1"/>
    <xf numFmtId="168" fontId="45" fillId="0" borderId="27" xfId="0" applyNumberFormat="1" applyFont="1" applyBorder="1" applyAlignment="1">
      <alignment horizontal="center"/>
    </xf>
    <xf numFmtId="168" fontId="45" fillId="0" borderId="13" xfId="0" applyNumberFormat="1" applyFont="1" applyBorder="1" applyAlignment="1">
      <alignment horizontal="center"/>
    </xf>
    <xf numFmtId="166" fontId="38" fillId="0" borderId="27" xfId="1" applyNumberFormat="1" applyFont="1" applyBorder="1"/>
    <xf numFmtId="0" fontId="38" fillId="0" borderId="40" xfId="0" applyFont="1" applyBorder="1"/>
    <xf numFmtId="166" fontId="41" fillId="0" borderId="27" xfId="1" applyNumberFormat="1" applyFont="1" applyBorder="1"/>
    <xf numFmtId="166" fontId="39" fillId="0" borderId="27" xfId="1" applyNumberFormat="1" applyFont="1" applyFill="1" applyBorder="1"/>
    <xf numFmtId="166" fontId="39" fillId="0" borderId="13" xfId="1" applyNumberFormat="1" applyFont="1" applyFill="1" applyBorder="1"/>
    <xf numFmtId="168" fontId="50" fillId="0" borderId="41" xfId="0" applyNumberFormat="1" applyFont="1" applyBorder="1"/>
    <xf numFmtId="9" fontId="38" fillId="0" borderId="0" xfId="1" applyFont="1" applyBorder="1"/>
    <xf numFmtId="168" fontId="38" fillId="0" borderId="27" xfId="0" applyNumberFormat="1" applyFont="1" applyBorder="1"/>
    <xf numFmtId="168" fontId="41" fillId="0" borderId="27" xfId="0" applyNumberFormat="1" applyFont="1" applyBorder="1"/>
    <xf numFmtId="168" fontId="38" fillId="0" borderId="13" xfId="0" applyNumberFormat="1" applyFont="1" applyBorder="1"/>
    <xf numFmtId="0" fontId="45" fillId="0" borderId="40" xfId="0" applyFont="1" applyBorder="1" applyAlignment="1">
      <alignment vertical="center"/>
    </xf>
    <xf numFmtId="168" fontId="42" fillId="3" borderId="0" xfId="0" applyNumberFormat="1" applyFont="1" applyFill="1"/>
    <xf numFmtId="168" fontId="38" fillId="3" borderId="0" xfId="0" applyNumberFormat="1" applyFont="1" applyFill="1"/>
    <xf numFmtId="168" fontId="38" fillId="3" borderId="41" xfId="0" applyNumberFormat="1" applyFont="1" applyFill="1" applyBorder="1"/>
    <xf numFmtId="166" fontId="38" fillId="0" borderId="0" xfId="1" applyNumberFormat="1" applyFont="1" applyFill="1" applyBorder="1"/>
    <xf numFmtId="1" fontId="45" fillId="3" borderId="0" xfId="0" applyNumberFormat="1" applyFont="1" applyFill="1" applyAlignment="1">
      <alignment horizontal="center"/>
    </xf>
    <xf numFmtId="1" fontId="45" fillId="3" borderId="18" xfId="0" applyNumberFormat="1" applyFont="1" applyFill="1" applyBorder="1" applyAlignment="1">
      <alignment horizontal="center"/>
    </xf>
    <xf numFmtId="166" fontId="38" fillId="0" borderId="15" xfId="1" applyNumberFormat="1" applyFont="1" applyBorder="1"/>
    <xf numFmtId="166" fontId="39" fillId="0" borderId="15" xfId="0" applyNumberFormat="1" applyFont="1" applyBorder="1"/>
    <xf numFmtId="166" fontId="39" fillId="0" borderId="20" xfId="0" applyNumberFormat="1" applyFont="1" applyBorder="1"/>
    <xf numFmtId="168" fontId="38" fillId="0" borderId="0" xfId="0" applyNumberFormat="1" applyFont="1" applyAlignment="1">
      <alignment horizontal="center"/>
    </xf>
    <xf numFmtId="168" fontId="38" fillId="0" borderId="18" xfId="0" applyNumberFormat="1" applyFont="1" applyBorder="1" applyAlignment="1">
      <alignment horizontal="center"/>
    </xf>
    <xf numFmtId="0" fontId="45" fillId="0" borderId="23" xfId="0" applyFont="1" applyBorder="1" applyAlignment="1">
      <alignment vertical="center"/>
    </xf>
    <xf numFmtId="168" fontId="38" fillId="0" borderId="0" xfId="10" applyNumberFormat="1" applyFont="1" applyBorder="1"/>
    <xf numFmtId="168" fontId="38" fillId="0" borderId="18" xfId="10" applyNumberFormat="1" applyFont="1" applyBorder="1"/>
    <xf numFmtId="168" fontId="49" fillId="0" borderId="0" xfId="10" applyNumberFormat="1" applyFont="1" applyBorder="1"/>
    <xf numFmtId="168" fontId="49" fillId="0" borderId="18" xfId="10" applyNumberFormat="1" applyFont="1" applyBorder="1"/>
    <xf numFmtId="0" fontId="39" fillId="0" borderId="23" xfId="0" applyFont="1" applyBorder="1"/>
    <xf numFmtId="168" fontId="42" fillId="0" borderId="0" xfId="0" applyNumberFormat="1" applyFont="1" applyAlignment="1">
      <alignment horizontal="center"/>
    </xf>
    <xf numFmtId="168" fontId="42" fillId="0" borderId="18" xfId="0" applyNumberFormat="1" applyFont="1" applyBorder="1" applyAlignment="1">
      <alignment horizontal="center"/>
    </xf>
    <xf numFmtId="168" fontId="45" fillId="0" borderId="18" xfId="0" applyNumberFormat="1" applyFont="1" applyBorder="1" applyAlignment="1">
      <alignment horizontal="center"/>
    </xf>
    <xf numFmtId="168" fontId="49" fillId="0" borderId="18" xfId="0" applyNumberFormat="1" applyFont="1" applyBorder="1" applyAlignment="1">
      <alignment horizontal="center"/>
    </xf>
    <xf numFmtId="168" fontId="39" fillId="0" borderId="0" xfId="0" applyNumberFormat="1" applyFont="1" applyAlignment="1">
      <alignment horizontal="left"/>
    </xf>
    <xf numFmtId="0" fontId="38" fillId="3" borderId="28" xfId="0" applyFont="1" applyFill="1" applyBorder="1"/>
    <xf numFmtId="168" fontId="39" fillId="3" borderId="15" xfId="0" applyNumberFormat="1" applyFont="1" applyFill="1" applyBorder="1"/>
    <xf numFmtId="168" fontId="39" fillId="3" borderId="20" xfId="0" applyNumberFormat="1" applyFont="1" applyFill="1" applyBorder="1"/>
    <xf numFmtId="166" fontId="38" fillId="3" borderId="25" xfId="1" applyNumberFormat="1" applyFont="1" applyFill="1" applyBorder="1" applyAlignment="1">
      <alignment horizontal="center"/>
    </xf>
    <xf numFmtId="166" fontId="38" fillId="3" borderId="39" xfId="1" applyNumberFormat="1" applyFont="1" applyFill="1" applyBorder="1" applyAlignment="1">
      <alignment horizontal="center"/>
    </xf>
    <xf numFmtId="168" fontId="41" fillId="0" borderId="41" xfId="0" applyNumberFormat="1" applyFont="1" applyBorder="1"/>
    <xf numFmtId="168" fontId="46" fillId="0" borderId="41" xfId="0" applyNumberFormat="1" applyFont="1" applyBorder="1"/>
    <xf numFmtId="168" fontId="47" fillId="0" borderId="0" xfId="0" applyNumberFormat="1" applyFont="1"/>
    <xf numFmtId="168" fontId="47" fillId="0" borderId="41" xfId="0" applyNumberFormat="1" applyFont="1" applyBorder="1"/>
    <xf numFmtId="0" fontId="44" fillId="0" borderId="40" xfId="0" applyFont="1" applyBorder="1"/>
    <xf numFmtId="0" fontId="38" fillId="0" borderId="34" xfId="0" applyFont="1" applyBorder="1"/>
    <xf numFmtId="168" fontId="47" fillId="0" borderId="27" xfId="0" applyNumberFormat="1" applyFont="1" applyBorder="1"/>
    <xf numFmtId="168" fontId="47" fillId="0" borderId="13" xfId="0" applyNumberFormat="1" applyFont="1" applyBorder="1"/>
    <xf numFmtId="0" fontId="44" fillId="0" borderId="23" xfId="0" applyFont="1" applyBorder="1"/>
    <xf numFmtId="166" fontId="38" fillId="0" borderId="0" xfId="1" applyNumberFormat="1" applyFont="1" applyBorder="1" applyAlignment="1">
      <alignment horizontal="right"/>
    </xf>
    <xf numFmtId="166" fontId="39" fillId="14" borderId="0" xfId="0" applyNumberFormat="1" applyFont="1" applyFill="1" applyAlignment="1">
      <alignment horizontal="right"/>
    </xf>
    <xf numFmtId="166" fontId="39" fillId="14" borderId="18" xfId="0" applyNumberFormat="1" applyFont="1" applyFill="1" applyBorder="1" applyAlignment="1">
      <alignment horizontal="right"/>
    </xf>
    <xf numFmtId="166" fontId="39" fillId="0" borderId="0" xfId="1" applyNumberFormat="1" applyFont="1" applyBorder="1" applyAlignment="1">
      <alignment horizontal="right"/>
    </xf>
    <xf numFmtId="166" fontId="39" fillId="0" borderId="18" xfId="1" applyNumberFormat="1" applyFont="1" applyBorder="1" applyAlignment="1">
      <alignment horizontal="right"/>
    </xf>
    <xf numFmtId="10" fontId="39" fillId="14" borderId="0" xfId="0" applyNumberFormat="1" applyFont="1" applyFill="1" applyAlignment="1">
      <alignment horizontal="right"/>
    </xf>
    <xf numFmtId="10" fontId="39" fillId="14" borderId="18" xfId="0" applyNumberFormat="1" applyFont="1" applyFill="1" applyBorder="1" applyAlignment="1">
      <alignment horizontal="right"/>
    </xf>
    <xf numFmtId="166" fontId="38" fillId="0" borderId="15" xfId="1" applyNumberFormat="1" applyFont="1" applyBorder="1" applyAlignment="1">
      <alignment horizontal="right"/>
    </xf>
    <xf numFmtId="166" fontId="39" fillId="14" borderId="15" xfId="0" applyNumberFormat="1" applyFont="1" applyFill="1" applyBorder="1" applyAlignment="1">
      <alignment horizontal="right"/>
    </xf>
    <xf numFmtId="166" fontId="39" fillId="14" borderId="20" xfId="0" applyNumberFormat="1" applyFont="1" applyFill="1" applyBorder="1" applyAlignment="1">
      <alignment horizontal="right"/>
    </xf>
    <xf numFmtId="168" fontId="38" fillId="0" borderId="15" xfId="0" applyNumberFormat="1" applyFont="1" applyBorder="1"/>
    <xf numFmtId="0" fontId="48" fillId="0" borderId="23" xfId="0" applyFont="1" applyBorder="1"/>
    <xf numFmtId="0" fontId="53" fillId="0" borderId="28" xfId="0" applyFont="1" applyBorder="1"/>
    <xf numFmtId="0" fontId="54" fillId="0" borderId="23" xfId="0" applyFont="1" applyBorder="1"/>
    <xf numFmtId="0" fontId="38" fillId="3" borderId="25" xfId="0" applyFont="1" applyFill="1" applyBorder="1"/>
    <xf numFmtId="0" fontId="38" fillId="3" borderId="39" xfId="0" applyFont="1" applyFill="1" applyBorder="1"/>
    <xf numFmtId="1" fontId="43" fillId="0" borderId="41" xfId="0" applyNumberFormat="1" applyFont="1" applyBorder="1" applyAlignment="1">
      <alignment horizontal="center"/>
    </xf>
    <xf numFmtId="0" fontId="45" fillId="0" borderId="34" xfId="0" applyFont="1" applyBorder="1" applyAlignment="1">
      <alignment vertical="center"/>
    </xf>
    <xf numFmtId="170" fontId="38" fillId="0" borderId="27" xfId="0" applyNumberFormat="1" applyFont="1" applyBorder="1"/>
    <xf numFmtId="170" fontId="38" fillId="0" borderId="13" xfId="0" applyNumberFormat="1" applyFont="1" applyBorder="1"/>
    <xf numFmtId="166" fontId="38" fillId="0" borderId="18" xfId="0" applyNumberFormat="1" applyFont="1" applyBorder="1" applyAlignment="1">
      <alignment horizontal="right"/>
    </xf>
    <xf numFmtId="176" fontId="38" fillId="0" borderId="18" xfId="0" applyNumberFormat="1" applyFont="1" applyBorder="1"/>
    <xf numFmtId="165" fontId="38" fillId="0" borderId="15" xfId="0" applyNumberFormat="1" applyFont="1" applyBorder="1"/>
    <xf numFmtId="165" fontId="38" fillId="0" borderId="20" xfId="0" applyNumberFormat="1" applyFont="1" applyBorder="1"/>
    <xf numFmtId="0" fontId="48" fillId="0" borderId="0" xfId="0" applyFont="1" applyAlignment="1">
      <alignment horizontal="right"/>
    </xf>
    <xf numFmtId="166" fontId="48" fillId="0" borderId="0" xfId="0" applyNumberFormat="1" applyFont="1"/>
    <xf numFmtId="0" fontId="48" fillId="0" borderId="0" xfId="0" applyFont="1"/>
    <xf numFmtId="179" fontId="48" fillId="0" borderId="0" xfId="0" applyNumberFormat="1" applyFont="1"/>
    <xf numFmtId="179" fontId="48" fillId="0" borderId="18" xfId="0" applyNumberFormat="1" applyFont="1" applyBorder="1"/>
    <xf numFmtId="0" fontId="48" fillId="3" borderId="16" xfId="0" applyFont="1" applyFill="1" applyBorder="1" applyAlignment="1">
      <alignment horizontal="center"/>
    </xf>
    <xf numFmtId="0" fontId="48" fillId="3" borderId="17" xfId="0" applyFont="1" applyFill="1" applyBorder="1" applyAlignment="1">
      <alignment horizontal="center"/>
    </xf>
    <xf numFmtId="0" fontId="48" fillId="0" borderId="0" xfId="0" applyFont="1" applyAlignment="1">
      <alignment horizontal="center"/>
    </xf>
    <xf numFmtId="0" fontId="48" fillId="3" borderId="29" xfId="0" applyFont="1" applyFill="1" applyBorder="1"/>
    <xf numFmtId="0" fontId="48" fillId="3" borderId="23" xfId="0" applyFont="1" applyFill="1" applyBorder="1"/>
    <xf numFmtId="0" fontId="38" fillId="0" borderId="0" xfId="0" applyFont="1" applyAlignment="1">
      <alignment horizontal="center"/>
    </xf>
    <xf numFmtId="0" fontId="38" fillId="0" borderId="18" xfId="0" applyFont="1" applyBorder="1" applyAlignment="1">
      <alignment horizontal="center"/>
    </xf>
    <xf numFmtId="0" fontId="55" fillId="0" borderId="23" xfId="0" applyFont="1" applyBorder="1"/>
    <xf numFmtId="0" fontId="55" fillId="0" borderId="29" xfId="0" applyFont="1" applyBorder="1"/>
    <xf numFmtId="0" fontId="55" fillId="3" borderId="23" xfId="0" applyFont="1" applyFill="1" applyBorder="1"/>
    <xf numFmtId="0" fontId="55" fillId="3" borderId="36" xfId="0" applyFont="1" applyFill="1" applyBorder="1"/>
    <xf numFmtId="0" fontId="55" fillId="3" borderId="40" xfId="0" applyFont="1" applyFill="1" applyBorder="1"/>
    <xf numFmtId="0" fontId="56" fillId="0" borderId="1" xfId="0" applyFont="1" applyBorder="1"/>
    <xf numFmtId="0" fontId="48" fillId="3" borderId="36" xfId="0" applyFont="1" applyFill="1" applyBorder="1"/>
    <xf numFmtId="0" fontId="48" fillId="17" borderId="29" xfId="0" applyFont="1" applyFill="1" applyBorder="1" applyAlignment="1">
      <alignment horizontal="center"/>
    </xf>
    <xf numFmtId="0" fontId="48" fillId="17" borderId="17" xfId="0" applyFont="1" applyFill="1" applyBorder="1" applyAlignment="1">
      <alignment horizontal="center"/>
    </xf>
    <xf numFmtId="9" fontId="38" fillId="0" borderId="18" xfId="0" applyNumberFormat="1" applyFont="1" applyBorder="1" applyAlignment="1">
      <alignment horizontal="center"/>
    </xf>
    <xf numFmtId="9" fontId="38" fillId="0" borderId="20" xfId="0" applyNumberFormat="1" applyFont="1" applyBorder="1" applyAlignment="1">
      <alignment horizontal="center"/>
    </xf>
    <xf numFmtId="0" fontId="51" fillId="0" borderId="23" xfId="0" applyFont="1" applyBorder="1" applyAlignment="1">
      <alignment horizontal="left"/>
    </xf>
    <xf numFmtId="0" fontId="51" fillId="0" borderId="28" xfId="0" applyFont="1" applyBorder="1" applyAlignment="1">
      <alignment horizontal="left"/>
    </xf>
    <xf numFmtId="165" fontId="48" fillId="0" borderId="0" xfId="0" applyNumberFormat="1" applyFont="1"/>
    <xf numFmtId="165" fontId="48" fillId="0" borderId="18" xfId="0" applyNumberFormat="1" applyFont="1" applyBorder="1"/>
    <xf numFmtId="9" fontId="38" fillId="0" borderId="0" xfId="0" applyNumberFormat="1" applyFont="1"/>
    <xf numFmtId="0" fontId="48" fillId="3" borderId="16" xfId="0" applyFont="1" applyFill="1" applyBorder="1"/>
    <xf numFmtId="0" fontId="57" fillId="18" borderId="0" xfId="0" applyFont="1" applyFill="1" applyAlignment="1">
      <alignment horizontal="center" vertical="center" wrapText="1"/>
    </xf>
    <xf numFmtId="0" fontId="58" fillId="0" borderId="0" xfId="0" applyFont="1" applyAlignment="1">
      <alignment vertical="center" wrapText="1"/>
    </xf>
    <xf numFmtId="8" fontId="59" fillId="0" borderId="0" xfId="0" applyNumberFormat="1" applyFont="1" applyAlignment="1">
      <alignment horizontal="center" vertical="center" wrapText="1"/>
    </xf>
    <xf numFmtId="10" fontId="59" fillId="0" borderId="0" xfId="0" applyNumberFormat="1" applyFont="1" applyAlignment="1">
      <alignment horizontal="center" vertical="center" wrapText="1"/>
    </xf>
    <xf numFmtId="9" fontId="59" fillId="0" borderId="0" xfId="0" applyNumberFormat="1" applyFont="1" applyAlignment="1">
      <alignment horizontal="center" vertical="center" wrapText="1"/>
    </xf>
    <xf numFmtId="0" fontId="58" fillId="19" borderId="0" xfId="0" applyFont="1" applyFill="1" applyAlignment="1">
      <alignment vertical="center" wrapText="1"/>
    </xf>
    <xf numFmtId="8" fontId="59" fillId="19" borderId="0" xfId="0" applyNumberFormat="1" applyFont="1" applyFill="1" applyAlignment="1">
      <alignment horizontal="center" vertical="center" wrapText="1"/>
    </xf>
    <xf numFmtId="10" fontId="59" fillId="19" borderId="0" xfId="0" applyNumberFormat="1" applyFont="1" applyFill="1" applyAlignment="1">
      <alignment horizontal="center" vertical="center" wrapText="1"/>
    </xf>
    <xf numFmtId="9" fontId="59" fillId="19" borderId="0" xfId="0" applyNumberFormat="1" applyFont="1" applyFill="1" applyAlignment="1">
      <alignment horizontal="center" vertical="center" wrapText="1"/>
    </xf>
    <xf numFmtId="8" fontId="58" fillId="0" borderId="0" xfId="0" applyNumberFormat="1" applyFont="1" applyAlignment="1">
      <alignment horizontal="center" vertical="center" wrapText="1"/>
    </xf>
    <xf numFmtId="10" fontId="58" fillId="0" borderId="0" xfId="0" applyNumberFormat="1" applyFont="1" applyAlignment="1">
      <alignment horizontal="center" vertical="center" wrapText="1"/>
    </xf>
    <xf numFmtId="9" fontId="58" fillId="0" borderId="0" xfId="0" applyNumberFormat="1" applyFont="1" applyAlignment="1">
      <alignment horizontal="center" vertical="center" wrapText="1"/>
    </xf>
    <xf numFmtId="0" fontId="57" fillId="18" borderId="0" xfId="0" applyFont="1" applyFill="1" applyAlignment="1">
      <alignment vertical="center" wrapText="1"/>
    </xf>
    <xf numFmtId="0" fontId="59" fillId="0" borderId="0" xfId="0" applyFont="1" applyAlignment="1">
      <alignment horizontal="center" vertical="center" wrapText="1"/>
    </xf>
    <xf numFmtId="0" fontId="59" fillId="19" borderId="0" xfId="0" applyFont="1" applyFill="1" applyAlignment="1">
      <alignment horizontal="center" vertical="center" wrapText="1"/>
    </xf>
    <xf numFmtId="0" fontId="58" fillId="0" borderId="0" xfId="0" applyFont="1" applyAlignment="1">
      <alignment horizontal="center" vertical="center" wrapText="1"/>
    </xf>
    <xf numFmtId="0" fontId="60" fillId="18" borderId="0" xfId="0" applyFont="1" applyFill="1" applyAlignment="1">
      <alignment horizontal="center" vertical="center" wrapText="1"/>
    </xf>
    <xf numFmtId="10" fontId="61" fillId="19" borderId="0" xfId="0" applyNumberFormat="1" applyFont="1" applyFill="1" applyAlignment="1">
      <alignment horizontal="center" vertical="center" wrapText="1"/>
    </xf>
    <xf numFmtId="2" fontId="59" fillId="0" borderId="0" xfId="0" applyNumberFormat="1" applyFont="1" applyAlignment="1">
      <alignment horizontal="center" vertical="center" wrapText="1"/>
    </xf>
    <xf numFmtId="2" fontId="59" fillId="19" borderId="0" xfId="0" applyNumberFormat="1" applyFont="1" applyFill="1" applyAlignment="1">
      <alignment horizontal="center" vertical="center" wrapText="1"/>
    </xf>
    <xf numFmtId="0" fontId="62" fillId="18" borderId="0" xfId="0" applyFont="1" applyFill="1" applyAlignment="1">
      <alignment vertical="center" wrapText="1"/>
    </xf>
    <xf numFmtId="10" fontId="61" fillId="0" borderId="0" xfId="0" applyNumberFormat="1" applyFont="1" applyAlignment="1">
      <alignment horizontal="center" vertical="center" wrapText="1"/>
    </xf>
    <xf numFmtId="0" fontId="61" fillId="0" borderId="0" xfId="0" applyFont="1" applyAlignment="1">
      <alignment horizontal="center" vertical="center" wrapText="1"/>
    </xf>
    <xf numFmtId="9" fontId="61" fillId="19" borderId="0" xfId="0" applyNumberFormat="1" applyFont="1" applyFill="1" applyAlignment="1">
      <alignment horizontal="center" vertical="center" wrapText="1"/>
    </xf>
    <xf numFmtId="0" fontId="63" fillId="0" borderId="0" xfId="0" applyFont="1"/>
    <xf numFmtId="14" fontId="63" fillId="0" borderId="0" xfId="0" applyNumberFormat="1" applyFont="1"/>
    <xf numFmtId="10" fontId="0" fillId="0" borderId="0" xfId="0" applyNumberFormat="1"/>
    <xf numFmtId="0" fontId="48" fillId="0" borderId="15" xfId="0" applyFont="1" applyBorder="1" applyAlignment="1">
      <alignment horizontal="right"/>
    </xf>
    <xf numFmtId="0" fontId="30" fillId="13" borderId="15" xfId="0" applyFont="1" applyFill="1" applyBorder="1" applyAlignment="1">
      <alignment wrapText="1"/>
    </xf>
    <xf numFmtId="0" fontId="3" fillId="0" borderId="0" xfId="0" applyFont="1" applyAlignment="1">
      <alignment horizontal="center"/>
    </xf>
    <xf numFmtId="10" fontId="3" fillId="0" borderId="0" xfId="0" applyNumberFormat="1" applyFont="1" applyAlignment="1">
      <alignment horizontal="center"/>
    </xf>
    <xf numFmtId="0" fontId="0" fillId="0" borderId="0" xfId="0" applyAlignment="1">
      <alignment horizontal="center"/>
    </xf>
    <xf numFmtId="166" fontId="38" fillId="0" borderId="0" xfId="0" applyNumberFormat="1" applyFont="1" applyBorder="1" applyAlignment="1">
      <alignment horizontal="right"/>
    </xf>
    <xf numFmtId="166" fontId="38" fillId="0" borderId="0" xfId="0" applyNumberFormat="1" applyFont="1" applyBorder="1"/>
    <xf numFmtId="165" fontId="38" fillId="0" borderId="0" xfId="0" applyNumberFormat="1" applyFont="1" applyBorder="1"/>
    <xf numFmtId="176" fontId="38" fillId="0" borderId="0" xfId="0" applyNumberFormat="1" applyFont="1" applyBorder="1"/>
    <xf numFmtId="176" fontId="48" fillId="15" borderId="0" xfId="0" applyNumberFormat="1" applyFont="1" applyFill="1" applyBorder="1"/>
    <xf numFmtId="0" fontId="0" fillId="0" borderId="0" xfId="0" applyBorder="1" applyAlignment="1">
      <alignment horizontal="center"/>
    </xf>
    <xf numFmtId="0" fontId="0" fillId="0" borderId="18" xfId="0" applyBorder="1" applyAlignment="1">
      <alignment horizontal="center"/>
    </xf>
    <xf numFmtId="0" fontId="0" fillId="0" borderId="15" xfId="0" applyBorder="1" applyAlignment="1">
      <alignment horizontal="center"/>
    </xf>
    <xf numFmtId="0" fontId="0" fillId="0" borderId="20" xfId="0" applyBorder="1" applyAlignment="1">
      <alignment horizontal="center"/>
    </xf>
    <xf numFmtId="10" fontId="64" fillId="20" borderId="7" xfId="0" applyNumberFormat="1" applyFont="1" applyFill="1" applyBorder="1" applyAlignment="1">
      <alignment horizontal="center"/>
    </xf>
    <xf numFmtId="10" fontId="64" fillId="20" borderId="10" xfId="0" applyNumberFormat="1" applyFont="1" applyFill="1" applyBorder="1" applyAlignment="1">
      <alignment horizontal="center"/>
    </xf>
    <xf numFmtId="0" fontId="64" fillId="20" borderId="42" xfId="0" applyFont="1" applyFill="1" applyBorder="1" applyAlignment="1">
      <alignment horizontal="center"/>
    </xf>
    <xf numFmtId="0" fontId="64" fillId="20" borderId="38" xfId="0" applyFont="1" applyFill="1" applyBorder="1" applyAlignment="1">
      <alignment horizontal="center"/>
    </xf>
    <xf numFmtId="0" fontId="64" fillId="20" borderId="3" xfId="0" applyFont="1" applyFill="1" applyBorder="1" applyAlignment="1">
      <alignment horizontal="center"/>
    </xf>
    <xf numFmtId="0" fontId="65" fillId="18" borderId="42" xfId="0" applyFont="1" applyFill="1" applyBorder="1" applyAlignment="1">
      <alignment horizontal="center" vertical="center" wrapText="1"/>
    </xf>
    <xf numFmtId="0" fontId="65" fillId="18" borderId="38" xfId="0" applyFont="1" applyFill="1" applyBorder="1" applyAlignment="1">
      <alignment horizontal="center" vertical="center" wrapText="1"/>
    </xf>
    <xf numFmtId="0" fontId="65" fillId="18" borderId="3" xfId="0" applyFont="1" applyFill="1" applyBorder="1" applyAlignment="1">
      <alignment horizontal="center" vertical="center" wrapText="1"/>
    </xf>
    <xf numFmtId="10" fontId="66" fillId="18" borderId="7" xfId="0" applyNumberFormat="1" applyFont="1" applyFill="1" applyBorder="1" applyAlignment="1">
      <alignment horizontal="center" vertical="center" wrapText="1"/>
    </xf>
    <xf numFmtId="2" fontId="67" fillId="0" borderId="0" xfId="0" applyNumberFormat="1" applyFont="1" applyBorder="1" applyAlignment="1">
      <alignment horizontal="center" vertical="center" wrapText="1"/>
    </xf>
    <xf numFmtId="2" fontId="67" fillId="0" borderId="18" xfId="0" applyNumberFormat="1" applyFont="1" applyBorder="1" applyAlignment="1">
      <alignment horizontal="center" vertical="center" wrapText="1"/>
    </xf>
    <xf numFmtId="2" fontId="67" fillId="19" borderId="0" xfId="0" applyNumberFormat="1" applyFont="1" applyFill="1" applyBorder="1" applyAlignment="1">
      <alignment horizontal="center" vertical="center" wrapText="1"/>
    </xf>
    <xf numFmtId="2" fontId="67" fillId="19" borderId="18" xfId="0" applyNumberFormat="1" applyFont="1" applyFill="1" applyBorder="1" applyAlignment="1">
      <alignment horizontal="center" vertical="center" wrapText="1"/>
    </xf>
    <xf numFmtId="2" fontId="67" fillId="0" borderId="0" xfId="0" applyNumberFormat="1" applyFont="1" applyFill="1" applyBorder="1" applyAlignment="1">
      <alignment horizontal="center" vertical="center" wrapText="1"/>
    </xf>
    <xf numFmtId="2" fontId="67" fillId="0" borderId="18" xfId="0" applyNumberFormat="1" applyFont="1" applyFill="1" applyBorder="1" applyAlignment="1">
      <alignment horizontal="center" vertical="center" wrapText="1"/>
    </xf>
    <xf numFmtId="10" fontId="66" fillId="18" borderId="10" xfId="0" applyNumberFormat="1" applyFont="1" applyFill="1" applyBorder="1" applyAlignment="1">
      <alignment horizontal="center" vertical="center" wrapText="1"/>
    </xf>
    <xf numFmtId="2" fontId="67" fillId="0" borderId="15" xfId="0" applyNumberFormat="1" applyFont="1" applyFill="1" applyBorder="1" applyAlignment="1">
      <alignment horizontal="center" vertical="center" wrapText="1"/>
    </xf>
    <xf numFmtId="2" fontId="67" fillId="0" borderId="20" xfId="0" applyNumberFormat="1" applyFont="1" applyFill="1" applyBorder="1" applyAlignment="1">
      <alignment horizontal="center" vertical="center" wrapText="1"/>
    </xf>
    <xf numFmtId="9" fontId="65" fillId="18" borderId="42" xfId="1" applyFont="1" applyFill="1" applyBorder="1" applyAlignment="1">
      <alignment horizontal="center" vertical="center" wrapText="1"/>
    </xf>
    <xf numFmtId="166" fontId="65" fillId="18" borderId="38" xfId="1" applyNumberFormat="1" applyFont="1" applyFill="1" applyBorder="1" applyAlignment="1">
      <alignment horizontal="center" vertical="center" wrapText="1"/>
    </xf>
    <xf numFmtId="166" fontId="65" fillId="18" borderId="3" xfId="1" applyNumberFormat="1" applyFont="1" applyFill="1" applyBorder="1" applyAlignment="1">
      <alignment horizontal="center" vertical="center" wrapText="1"/>
    </xf>
    <xf numFmtId="10" fontId="65" fillId="18" borderId="7" xfId="0" applyNumberFormat="1" applyFont="1" applyFill="1" applyBorder="1" applyAlignment="1">
      <alignment horizontal="center" vertical="center" wrapText="1"/>
    </xf>
    <xf numFmtId="2" fontId="68" fillId="0" borderId="0" xfId="1" applyNumberFormat="1" applyFont="1" applyFill="1" applyBorder="1" applyAlignment="1">
      <alignment horizontal="center" vertical="center" wrapText="1"/>
    </xf>
    <xf numFmtId="2" fontId="68" fillId="0" borderId="18" xfId="1" applyNumberFormat="1" applyFont="1" applyFill="1" applyBorder="1" applyAlignment="1">
      <alignment horizontal="center" vertical="center" wrapText="1"/>
    </xf>
    <xf numFmtId="2" fontId="68" fillId="0" borderId="15" xfId="1" applyNumberFormat="1" applyFont="1" applyFill="1" applyBorder="1" applyAlignment="1">
      <alignment horizontal="center" vertical="center" wrapText="1"/>
    </xf>
    <xf numFmtId="2" fontId="68" fillId="0" borderId="20" xfId="1" applyNumberFormat="1" applyFont="1" applyFill="1" applyBorder="1" applyAlignment="1">
      <alignment horizontal="center" vertical="center" wrapText="1"/>
    </xf>
  </cellXfs>
  <cellStyles count="11">
    <cellStyle name="Comma" xfId="10" builtinId="3"/>
    <cellStyle name="Comma 19" xfId="3" xr:uid="{5D7F2DCC-F570-E145-84E9-7113D398831C}"/>
    <cellStyle name="Comma 19 2 2" xfId="5" xr:uid="{4EC5A55B-54ED-3C4F-8F92-9A226C9A91D5}"/>
    <cellStyle name="Comma 21" xfId="7" xr:uid="{11CD79B2-841D-7149-A3C4-912A39D7EFD9}"/>
    <cellStyle name="Comma 3" xfId="8" xr:uid="{5815D58D-DFBB-1446-8A8E-A8CA2C535EA2}"/>
    <cellStyle name="Normal" xfId="0" builtinId="0"/>
    <cellStyle name="Normal 2" xfId="4" xr:uid="{C1F278B4-D9F6-C243-B600-E3A99AFC2693}"/>
    <cellStyle name="Normal 2 3" xfId="9" xr:uid="{B47F748A-0897-9D47-A220-182C6DB03127}"/>
    <cellStyle name="Normal 4" xfId="2" xr:uid="{67505E0B-CA06-B343-BB3B-8719D72A94A9}"/>
    <cellStyle name="Percent" xfId="1" builtinId="5"/>
    <cellStyle name="Percent 16 2" xfId="6" xr:uid="{3EA9B362-E1B8-E343-8936-6EEDB0E2283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Charts!$M$24</c:f>
              <c:strCache>
                <c:ptCount val="1"/>
                <c:pt idx="0">
                  <c:v>Products Revenue ($B)</c:v>
                </c:pt>
              </c:strCache>
            </c:strRef>
          </c:tx>
          <c:spPr>
            <a:solidFill>
              <a:schemeClr val="accent1"/>
            </a:solidFill>
            <a:ln>
              <a:noFill/>
            </a:ln>
            <a:effectLst/>
          </c:spPr>
          <c:invertIfNegative val="0"/>
          <c:cat>
            <c:strRef>
              <c:f>Charts!$L$25:$L$32</c:f>
              <c:strCache>
                <c:ptCount val="8"/>
                <c:pt idx="0">
                  <c:v>2023A</c:v>
                </c:pt>
                <c:pt idx="1">
                  <c:v>2024A</c:v>
                </c:pt>
                <c:pt idx="2">
                  <c:v>2025A</c:v>
                </c:pt>
                <c:pt idx="3">
                  <c:v>2026P</c:v>
                </c:pt>
                <c:pt idx="4">
                  <c:v>2027P</c:v>
                </c:pt>
                <c:pt idx="5">
                  <c:v>2028P</c:v>
                </c:pt>
                <c:pt idx="6">
                  <c:v>2029P</c:v>
                </c:pt>
                <c:pt idx="7">
                  <c:v>2030P</c:v>
                </c:pt>
              </c:strCache>
            </c:strRef>
          </c:cat>
          <c:val>
            <c:numRef>
              <c:f>Charts!$M$25:$M$32</c:f>
              <c:numCache>
                <c:formatCode>General</c:formatCode>
                <c:ptCount val="8"/>
                <c:pt idx="0">
                  <c:v>28.9</c:v>
                </c:pt>
                <c:pt idx="1">
                  <c:v>35</c:v>
                </c:pt>
                <c:pt idx="2">
                  <c:v>44.8</c:v>
                </c:pt>
                <c:pt idx="3">
                  <c:v>67.3</c:v>
                </c:pt>
                <c:pt idx="4">
                  <c:v>91.5</c:v>
                </c:pt>
                <c:pt idx="5">
                  <c:v>111.6</c:v>
                </c:pt>
                <c:pt idx="6">
                  <c:v>129.5</c:v>
                </c:pt>
                <c:pt idx="7">
                  <c:v>145</c:v>
                </c:pt>
              </c:numCache>
            </c:numRef>
          </c:val>
          <c:extLst>
            <c:ext xmlns:c16="http://schemas.microsoft.com/office/drawing/2014/chart" uri="{C3380CC4-5D6E-409C-BE32-E72D297353CC}">
              <c16:uniqueId val="{00000000-510E-2840-B2EF-03A8CED43DA8}"/>
            </c:ext>
          </c:extLst>
        </c:ser>
        <c:ser>
          <c:idx val="1"/>
          <c:order val="1"/>
          <c:tx>
            <c:strRef>
              <c:f>Charts!$N$24</c:f>
              <c:strCache>
                <c:ptCount val="1"/>
                <c:pt idx="0">
                  <c:v>Software Revenue ($B)</c:v>
                </c:pt>
              </c:strCache>
            </c:strRef>
          </c:tx>
          <c:spPr>
            <a:solidFill>
              <a:schemeClr val="accent2"/>
            </a:solidFill>
            <a:ln>
              <a:noFill/>
            </a:ln>
            <a:effectLst/>
          </c:spPr>
          <c:invertIfNegative val="0"/>
          <c:cat>
            <c:strRef>
              <c:f>Charts!$L$25:$L$32</c:f>
              <c:strCache>
                <c:ptCount val="8"/>
                <c:pt idx="0">
                  <c:v>2023A</c:v>
                </c:pt>
                <c:pt idx="1">
                  <c:v>2024A</c:v>
                </c:pt>
                <c:pt idx="2">
                  <c:v>2025A</c:v>
                </c:pt>
                <c:pt idx="3">
                  <c:v>2026P</c:v>
                </c:pt>
                <c:pt idx="4">
                  <c:v>2027P</c:v>
                </c:pt>
                <c:pt idx="5">
                  <c:v>2028P</c:v>
                </c:pt>
                <c:pt idx="6">
                  <c:v>2029P</c:v>
                </c:pt>
                <c:pt idx="7">
                  <c:v>2030P</c:v>
                </c:pt>
              </c:strCache>
            </c:strRef>
          </c:cat>
          <c:val>
            <c:numRef>
              <c:f>Charts!$N$25:$N$32</c:f>
              <c:numCache>
                <c:formatCode>General</c:formatCode>
                <c:ptCount val="8"/>
                <c:pt idx="0">
                  <c:v>6.9</c:v>
                </c:pt>
                <c:pt idx="1">
                  <c:v>16.600000000000001</c:v>
                </c:pt>
                <c:pt idx="2">
                  <c:v>19</c:v>
                </c:pt>
                <c:pt idx="3">
                  <c:v>21.3</c:v>
                </c:pt>
                <c:pt idx="4">
                  <c:v>23</c:v>
                </c:pt>
                <c:pt idx="5">
                  <c:v>24.4</c:v>
                </c:pt>
                <c:pt idx="6">
                  <c:v>25.6</c:v>
                </c:pt>
                <c:pt idx="7">
                  <c:v>26.9</c:v>
                </c:pt>
              </c:numCache>
            </c:numRef>
          </c:val>
          <c:extLst>
            <c:ext xmlns:c16="http://schemas.microsoft.com/office/drawing/2014/chart" uri="{C3380CC4-5D6E-409C-BE32-E72D297353CC}">
              <c16:uniqueId val="{00000001-510E-2840-B2EF-03A8CED43DA8}"/>
            </c:ext>
          </c:extLst>
        </c:ser>
        <c:dLbls>
          <c:showLegendKey val="0"/>
          <c:showVal val="0"/>
          <c:showCatName val="0"/>
          <c:showSerName val="0"/>
          <c:showPercent val="0"/>
          <c:showBubbleSize val="0"/>
        </c:dLbls>
        <c:gapWidth val="150"/>
        <c:axId val="1535784959"/>
        <c:axId val="1561482943"/>
      </c:barChart>
      <c:lineChart>
        <c:grouping val="standard"/>
        <c:varyColors val="0"/>
        <c:ser>
          <c:idx val="2"/>
          <c:order val="2"/>
          <c:tx>
            <c:strRef>
              <c:f>Charts!$O$24</c:f>
              <c:strCache>
                <c:ptCount val="1"/>
                <c:pt idx="0">
                  <c:v>Debt / EBITDA (x)</c:v>
                </c:pt>
              </c:strCache>
            </c:strRef>
          </c:tx>
          <c:spPr>
            <a:ln w="28575" cap="rnd">
              <a:solidFill>
                <a:schemeClr val="accent3"/>
              </a:solidFill>
              <a:round/>
            </a:ln>
            <a:effectLst/>
          </c:spPr>
          <c:marker>
            <c:symbol val="none"/>
          </c:marker>
          <c:cat>
            <c:strRef>
              <c:f>Charts!$L$25:$L$32</c:f>
              <c:strCache>
                <c:ptCount val="8"/>
                <c:pt idx="0">
                  <c:v>2023A</c:v>
                </c:pt>
                <c:pt idx="1">
                  <c:v>2024A</c:v>
                </c:pt>
                <c:pt idx="2">
                  <c:v>2025A</c:v>
                </c:pt>
                <c:pt idx="3">
                  <c:v>2026P</c:v>
                </c:pt>
                <c:pt idx="4">
                  <c:v>2027P</c:v>
                </c:pt>
                <c:pt idx="5">
                  <c:v>2028P</c:v>
                </c:pt>
                <c:pt idx="6">
                  <c:v>2029P</c:v>
                </c:pt>
                <c:pt idx="7">
                  <c:v>2030P</c:v>
                </c:pt>
              </c:strCache>
            </c:strRef>
          </c:cat>
          <c:val>
            <c:numRef>
              <c:f>Charts!$O$25:$O$32</c:f>
              <c:numCache>
                <c:formatCode>General</c:formatCode>
                <c:ptCount val="8"/>
                <c:pt idx="0">
                  <c:v>1.9</c:v>
                </c:pt>
                <c:pt idx="1">
                  <c:v>2.7</c:v>
                </c:pt>
                <c:pt idx="2">
                  <c:v>1.9</c:v>
                </c:pt>
                <c:pt idx="3">
                  <c:v>1.4</c:v>
                </c:pt>
                <c:pt idx="4">
                  <c:v>0.9</c:v>
                </c:pt>
                <c:pt idx="5">
                  <c:v>0.7</c:v>
                </c:pt>
                <c:pt idx="6">
                  <c:v>0.4</c:v>
                </c:pt>
                <c:pt idx="7">
                  <c:v>0.3</c:v>
                </c:pt>
              </c:numCache>
            </c:numRef>
          </c:val>
          <c:smooth val="0"/>
          <c:extLst>
            <c:ext xmlns:c16="http://schemas.microsoft.com/office/drawing/2014/chart" uri="{C3380CC4-5D6E-409C-BE32-E72D297353CC}">
              <c16:uniqueId val="{00000002-510E-2840-B2EF-03A8CED43DA8}"/>
            </c:ext>
          </c:extLst>
        </c:ser>
        <c:dLbls>
          <c:showLegendKey val="0"/>
          <c:showVal val="0"/>
          <c:showCatName val="0"/>
          <c:showSerName val="0"/>
          <c:showPercent val="0"/>
          <c:showBubbleSize val="0"/>
        </c:dLbls>
        <c:marker val="1"/>
        <c:smooth val="0"/>
        <c:axId val="1588879231"/>
        <c:axId val="1588873855"/>
      </c:lineChart>
      <c:catAx>
        <c:axId val="1535784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1482943"/>
        <c:crosses val="autoZero"/>
        <c:auto val="1"/>
        <c:lblAlgn val="ctr"/>
        <c:lblOffset val="100"/>
        <c:noMultiLvlLbl val="0"/>
      </c:catAx>
      <c:valAx>
        <c:axId val="15614829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 Revenue</a:t>
                </a:r>
                <a:r>
                  <a:rPr lang="en-US" sz="1100" baseline="0"/>
                  <a:t> ($B)</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35784959"/>
        <c:crosses val="autoZero"/>
        <c:crossBetween val="between"/>
      </c:valAx>
      <c:valAx>
        <c:axId val="1588873855"/>
        <c:scaling>
          <c:orientation val="minMax"/>
        </c:scaling>
        <c:delete val="0"/>
        <c:axPos val="r"/>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Debt</a:t>
                </a:r>
                <a:r>
                  <a:rPr lang="en-US" sz="1100" baseline="0"/>
                  <a:t> / EBITDA (X)</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88879231"/>
        <c:crosses val="max"/>
        <c:crossBetween val="between"/>
      </c:valAx>
      <c:catAx>
        <c:axId val="1588879231"/>
        <c:scaling>
          <c:orientation val="minMax"/>
        </c:scaling>
        <c:delete val="1"/>
        <c:axPos val="b"/>
        <c:numFmt formatCode="General" sourceLinked="1"/>
        <c:majorTickMark val="out"/>
        <c:minorTickMark val="none"/>
        <c:tickLblPos val="nextTo"/>
        <c:crossAx val="1588873855"/>
        <c:crosses val="autoZero"/>
        <c:auto val="1"/>
        <c:lblAlgn val="ctr"/>
        <c:lblOffset val="100"/>
        <c:noMultiLvlLbl val="0"/>
      </c:catAx>
      <c:spPr>
        <a:noFill/>
        <a:ln>
          <a:noFill/>
        </a:ln>
        <a:effectLst/>
      </c:spPr>
    </c:plotArea>
    <c:legend>
      <c:legendPos val="b"/>
      <c:layout>
        <c:manualLayout>
          <c:xMode val="edge"/>
          <c:yMode val="edge"/>
          <c:x val="6.1233595800524914E-3"/>
          <c:y val="0.80618620589093026"/>
          <c:w val="0.97108661417322839"/>
          <c:h val="0.1660360163312919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'6 Month Preformace'!$B$1</c:f>
              <c:strCache>
                <c:ptCount val="1"/>
                <c:pt idx="0">
                  <c:v>Stock Price</c:v>
                </c:pt>
              </c:strCache>
            </c:strRef>
          </c:tx>
          <c:spPr>
            <a:solidFill>
              <a:schemeClr val="bg2">
                <a:lumMod val="90000"/>
              </a:schemeClr>
            </a:solidFill>
            <a:ln w="9525" cap="flat" cmpd="sng" algn="ctr">
              <a:solidFill>
                <a:schemeClr val="bg1">
                  <a:lumMod val="65000"/>
                </a:schemeClr>
              </a:solidFill>
              <a:round/>
            </a:ln>
            <a:effectLst/>
          </c:spPr>
          <c:cat>
            <c:numRef>
              <c:f>'6 Month Preformace'!$A$2:$A$152</c:f>
              <c:numCache>
                <c:formatCode>m/d/yy</c:formatCode>
                <c:ptCount val="148"/>
                <c:pt idx="0">
                  <c:v>46030</c:v>
                </c:pt>
                <c:pt idx="1">
                  <c:v>46029</c:v>
                </c:pt>
                <c:pt idx="2">
                  <c:v>46028</c:v>
                </c:pt>
                <c:pt idx="3">
                  <c:v>46027</c:v>
                </c:pt>
                <c:pt idx="4">
                  <c:v>46024</c:v>
                </c:pt>
                <c:pt idx="5">
                  <c:v>46022</c:v>
                </c:pt>
                <c:pt idx="6">
                  <c:v>46021</c:v>
                </c:pt>
                <c:pt idx="7">
                  <c:v>46020</c:v>
                </c:pt>
                <c:pt idx="8">
                  <c:v>46017</c:v>
                </c:pt>
                <c:pt idx="9">
                  <c:v>46015</c:v>
                </c:pt>
                <c:pt idx="10">
                  <c:v>46014</c:v>
                </c:pt>
                <c:pt idx="11">
                  <c:v>46013</c:v>
                </c:pt>
                <c:pt idx="12">
                  <c:v>46010</c:v>
                </c:pt>
                <c:pt idx="13">
                  <c:v>46009</c:v>
                </c:pt>
                <c:pt idx="14">
                  <c:v>46008</c:v>
                </c:pt>
                <c:pt idx="15">
                  <c:v>46007</c:v>
                </c:pt>
                <c:pt idx="16">
                  <c:v>46006</c:v>
                </c:pt>
                <c:pt idx="17">
                  <c:v>46003</c:v>
                </c:pt>
                <c:pt idx="18">
                  <c:v>46002</c:v>
                </c:pt>
                <c:pt idx="19">
                  <c:v>46001</c:v>
                </c:pt>
                <c:pt idx="20">
                  <c:v>46000</c:v>
                </c:pt>
                <c:pt idx="21">
                  <c:v>45999</c:v>
                </c:pt>
                <c:pt idx="22">
                  <c:v>45996</c:v>
                </c:pt>
                <c:pt idx="23">
                  <c:v>45995</c:v>
                </c:pt>
                <c:pt idx="24">
                  <c:v>45994</c:v>
                </c:pt>
                <c:pt idx="25">
                  <c:v>45993</c:v>
                </c:pt>
                <c:pt idx="26">
                  <c:v>45992</c:v>
                </c:pt>
                <c:pt idx="27">
                  <c:v>45989</c:v>
                </c:pt>
                <c:pt idx="28">
                  <c:v>45987</c:v>
                </c:pt>
                <c:pt idx="29">
                  <c:v>45986</c:v>
                </c:pt>
                <c:pt idx="30">
                  <c:v>45985</c:v>
                </c:pt>
                <c:pt idx="31">
                  <c:v>45982</c:v>
                </c:pt>
                <c:pt idx="32">
                  <c:v>45981</c:v>
                </c:pt>
                <c:pt idx="33">
                  <c:v>45980</c:v>
                </c:pt>
                <c:pt idx="34">
                  <c:v>45979</c:v>
                </c:pt>
                <c:pt idx="35">
                  <c:v>45978</c:v>
                </c:pt>
                <c:pt idx="36">
                  <c:v>45975</c:v>
                </c:pt>
                <c:pt idx="37">
                  <c:v>45974</c:v>
                </c:pt>
                <c:pt idx="38">
                  <c:v>45973</c:v>
                </c:pt>
                <c:pt idx="39">
                  <c:v>45972</c:v>
                </c:pt>
                <c:pt idx="40">
                  <c:v>45971</c:v>
                </c:pt>
                <c:pt idx="41">
                  <c:v>45968</c:v>
                </c:pt>
                <c:pt idx="42">
                  <c:v>45967</c:v>
                </c:pt>
                <c:pt idx="43">
                  <c:v>45966</c:v>
                </c:pt>
                <c:pt idx="44">
                  <c:v>45965</c:v>
                </c:pt>
                <c:pt idx="45">
                  <c:v>45964</c:v>
                </c:pt>
                <c:pt idx="46">
                  <c:v>45961</c:v>
                </c:pt>
                <c:pt idx="47">
                  <c:v>45960</c:v>
                </c:pt>
                <c:pt idx="48">
                  <c:v>45959</c:v>
                </c:pt>
                <c:pt idx="49">
                  <c:v>45958</c:v>
                </c:pt>
                <c:pt idx="50">
                  <c:v>45957</c:v>
                </c:pt>
                <c:pt idx="51">
                  <c:v>45954</c:v>
                </c:pt>
                <c:pt idx="52">
                  <c:v>45953</c:v>
                </c:pt>
                <c:pt idx="53">
                  <c:v>45952</c:v>
                </c:pt>
                <c:pt idx="54">
                  <c:v>45951</c:v>
                </c:pt>
                <c:pt idx="55">
                  <c:v>45950</c:v>
                </c:pt>
                <c:pt idx="56">
                  <c:v>45947</c:v>
                </c:pt>
                <c:pt idx="57">
                  <c:v>45946</c:v>
                </c:pt>
                <c:pt idx="58">
                  <c:v>45945</c:v>
                </c:pt>
                <c:pt idx="59">
                  <c:v>45944</c:v>
                </c:pt>
                <c:pt idx="60">
                  <c:v>45943</c:v>
                </c:pt>
                <c:pt idx="61">
                  <c:v>45940</c:v>
                </c:pt>
                <c:pt idx="62">
                  <c:v>45939</c:v>
                </c:pt>
                <c:pt idx="63">
                  <c:v>45938</c:v>
                </c:pt>
                <c:pt idx="64">
                  <c:v>45937</c:v>
                </c:pt>
                <c:pt idx="65">
                  <c:v>45936</c:v>
                </c:pt>
                <c:pt idx="66">
                  <c:v>45933</c:v>
                </c:pt>
                <c:pt idx="67">
                  <c:v>45932</c:v>
                </c:pt>
                <c:pt idx="68">
                  <c:v>45931</c:v>
                </c:pt>
                <c:pt idx="69">
                  <c:v>45930</c:v>
                </c:pt>
                <c:pt idx="70">
                  <c:v>45929</c:v>
                </c:pt>
                <c:pt idx="71">
                  <c:v>45926</c:v>
                </c:pt>
                <c:pt idx="72">
                  <c:v>45925</c:v>
                </c:pt>
                <c:pt idx="73">
                  <c:v>45924</c:v>
                </c:pt>
                <c:pt idx="74">
                  <c:v>45923</c:v>
                </c:pt>
                <c:pt idx="75">
                  <c:v>45922</c:v>
                </c:pt>
                <c:pt idx="76">
                  <c:v>45919</c:v>
                </c:pt>
                <c:pt idx="77">
                  <c:v>45918</c:v>
                </c:pt>
                <c:pt idx="78">
                  <c:v>45917</c:v>
                </c:pt>
                <c:pt idx="79">
                  <c:v>45916</c:v>
                </c:pt>
                <c:pt idx="80">
                  <c:v>45915</c:v>
                </c:pt>
                <c:pt idx="81">
                  <c:v>45912</c:v>
                </c:pt>
                <c:pt idx="82">
                  <c:v>45911</c:v>
                </c:pt>
                <c:pt idx="83">
                  <c:v>45910</c:v>
                </c:pt>
                <c:pt idx="84">
                  <c:v>45909</c:v>
                </c:pt>
                <c:pt idx="85">
                  <c:v>45908</c:v>
                </c:pt>
                <c:pt idx="86">
                  <c:v>45905</c:v>
                </c:pt>
                <c:pt idx="87">
                  <c:v>45904</c:v>
                </c:pt>
                <c:pt idx="88">
                  <c:v>45903</c:v>
                </c:pt>
                <c:pt idx="89">
                  <c:v>45902</c:v>
                </c:pt>
                <c:pt idx="90">
                  <c:v>45898</c:v>
                </c:pt>
                <c:pt idx="91">
                  <c:v>45897</c:v>
                </c:pt>
                <c:pt idx="92">
                  <c:v>45896</c:v>
                </c:pt>
                <c:pt idx="93">
                  <c:v>45895</c:v>
                </c:pt>
                <c:pt idx="94">
                  <c:v>45894</c:v>
                </c:pt>
                <c:pt idx="95">
                  <c:v>45891</c:v>
                </c:pt>
                <c:pt idx="96">
                  <c:v>45890</c:v>
                </c:pt>
                <c:pt idx="97">
                  <c:v>45889</c:v>
                </c:pt>
                <c:pt idx="98">
                  <c:v>45888</c:v>
                </c:pt>
                <c:pt idx="99">
                  <c:v>45887</c:v>
                </c:pt>
                <c:pt idx="100">
                  <c:v>45884</c:v>
                </c:pt>
                <c:pt idx="101">
                  <c:v>45883</c:v>
                </c:pt>
                <c:pt idx="102">
                  <c:v>45882</c:v>
                </c:pt>
                <c:pt idx="103">
                  <c:v>45881</c:v>
                </c:pt>
                <c:pt idx="104">
                  <c:v>45880</c:v>
                </c:pt>
                <c:pt idx="105">
                  <c:v>45877</c:v>
                </c:pt>
                <c:pt idx="106">
                  <c:v>45876</c:v>
                </c:pt>
                <c:pt idx="107">
                  <c:v>45875</c:v>
                </c:pt>
                <c:pt idx="108">
                  <c:v>45874</c:v>
                </c:pt>
                <c:pt idx="109">
                  <c:v>45873</c:v>
                </c:pt>
                <c:pt idx="110">
                  <c:v>45870</c:v>
                </c:pt>
                <c:pt idx="111">
                  <c:v>45869</c:v>
                </c:pt>
                <c:pt idx="112">
                  <c:v>45868</c:v>
                </c:pt>
                <c:pt idx="113">
                  <c:v>45867</c:v>
                </c:pt>
                <c:pt idx="114">
                  <c:v>45866</c:v>
                </c:pt>
                <c:pt idx="115">
                  <c:v>45863</c:v>
                </c:pt>
                <c:pt idx="116">
                  <c:v>45862</c:v>
                </c:pt>
                <c:pt idx="117">
                  <c:v>45861</c:v>
                </c:pt>
                <c:pt idx="118">
                  <c:v>45860</c:v>
                </c:pt>
                <c:pt idx="119">
                  <c:v>45859</c:v>
                </c:pt>
                <c:pt idx="120">
                  <c:v>45856</c:v>
                </c:pt>
                <c:pt idx="121">
                  <c:v>45855</c:v>
                </c:pt>
                <c:pt idx="122">
                  <c:v>45854</c:v>
                </c:pt>
                <c:pt idx="123">
                  <c:v>45853</c:v>
                </c:pt>
                <c:pt idx="124">
                  <c:v>45852</c:v>
                </c:pt>
                <c:pt idx="125">
                  <c:v>45849</c:v>
                </c:pt>
                <c:pt idx="126">
                  <c:v>45848</c:v>
                </c:pt>
                <c:pt idx="127">
                  <c:v>45847</c:v>
                </c:pt>
                <c:pt idx="128">
                  <c:v>45846</c:v>
                </c:pt>
                <c:pt idx="129">
                  <c:v>45845</c:v>
                </c:pt>
                <c:pt idx="130">
                  <c:v>45841</c:v>
                </c:pt>
                <c:pt idx="131">
                  <c:v>45840</c:v>
                </c:pt>
                <c:pt idx="132">
                  <c:v>45839</c:v>
                </c:pt>
                <c:pt idx="133">
                  <c:v>45838</c:v>
                </c:pt>
                <c:pt idx="134">
                  <c:v>45835</c:v>
                </c:pt>
                <c:pt idx="135">
                  <c:v>45834</c:v>
                </c:pt>
                <c:pt idx="136">
                  <c:v>45833</c:v>
                </c:pt>
                <c:pt idx="137">
                  <c:v>45832</c:v>
                </c:pt>
                <c:pt idx="138">
                  <c:v>45831</c:v>
                </c:pt>
                <c:pt idx="139">
                  <c:v>45828</c:v>
                </c:pt>
                <c:pt idx="140">
                  <c:v>45826</c:v>
                </c:pt>
                <c:pt idx="141">
                  <c:v>45825</c:v>
                </c:pt>
                <c:pt idx="142">
                  <c:v>45824</c:v>
                </c:pt>
                <c:pt idx="143">
                  <c:v>45821</c:v>
                </c:pt>
                <c:pt idx="144">
                  <c:v>45820</c:v>
                </c:pt>
                <c:pt idx="145">
                  <c:v>45819</c:v>
                </c:pt>
                <c:pt idx="146">
                  <c:v>45818</c:v>
                </c:pt>
                <c:pt idx="147">
                  <c:v>45817</c:v>
                </c:pt>
              </c:numCache>
            </c:numRef>
          </c:cat>
          <c:val>
            <c:numRef>
              <c:f>'6 Month Preformace'!$B$2:$B$152</c:f>
              <c:numCache>
                <c:formatCode>General</c:formatCode>
                <c:ptCount val="148"/>
                <c:pt idx="0">
                  <c:v>332.48</c:v>
                </c:pt>
                <c:pt idx="1">
                  <c:v>343.5</c:v>
                </c:pt>
                <c:pt idx="2">
                  <c:v>343.77</c:v>
                </c:pt>
                <c:pt idx="3">
                  <c:v>343.42</c:v>
                </c:pt>
                <c:pt idx="4">
                  <c:v>347.62</c:v>
                </c:pt>
                <c:pt idx="5">
                  <c:v>346.1</c:v>
                </c:pt>
                <c:pt idx="6">
                  <c:v>349.85</c:v>
                </c:pt>
                <c:pt idx="7">
                  <c:v>349.39</c:v>
                </c:pt>
                <c:pt idx="8">
                  <c:v>352.13</c:v>
                </c:pt>
                <c:pt idx="9">
                  <c:v>350.22</c:v>
                </c:pt>
                <c:pt idx="10">
                  <c:v>349.32</c:v>
                </c:pt>
                <c:pt idx="11">
                  <c:v>341.45</c:v>
                </c:pt>
                <c:pt idx="12">
                  <c:v>340.36</c:v>
                </c:pt>
                <c:pt idx="13">
                  <c:v>329.88</c:v>
                </c:pt>
                <c:pt idx="14">
                  <c:v>326.02</c:v>
                </c:pt>
                <c:pt idx="15">
                  <c:v>341.3</c:v>
                </c:pt>
                <c:pt idx="16">
                  <c:v>339.81</c:v>
                </c:pt>
                <c:pt idx="17">
                  <c:v>359.93</c:v>
                </c:pt>
                <c:pt idx="18">
                  <c:v>406.37</c:v>
                </c:pt>
                <c:pt idx="19">
                  <c:v>412.97</c:v>
                </c:pt>
                <c:pt idx="20">
                  <c:v>406.29</c:v>
                </c:pt>
                <c:pt idx="21">
                  <c:v>401.1</c:v>
                </c:pt>
                <c:pt idx="22">
                  <c:v>390.24</c:v>
                </c:pt>
                <c:pt idx="23">
                  <c:v>381.03</c:v>
                </c:pt>
                <c:pt idx="24">
                  <c:v>380.61</c:v>
                </c:pt>
                <c:pt idx="25">
                  <c:v>381.57</c:v>
                </c:pt>
                <c:pt idx="26">
                  <c:v>386.08</c:v>
                </c:pt>
                <c:pt idx="27">
                  <c:v>402.96</c:v>
                </c:pt>
                <c:pt idx="28">
                  <c:v>397.57</c:v>
                </c:pt>
                <c:pt idx="29">
                  <c:v>385.03</c:v>
                </c:pt>
                <c:pt idx="30">
                  <c:v>377.96</c:v>
                </c:pt>
                <c:pt idx="31">
                  <c:v>340.2</c:v>
                </c:pt>
                <c:pt idx="32">
                  <c:v>346.82</c:v>
                </c:pt>
                <c:pt idx="33">
                  <c:v>354.42</c:v>
                </c:pt>
                <c:pt idx="34">
                  <c:v>340.5</c:v>
                </c:pt>
                <c:pt idx="35">
                  <c:v>342.65</c:v>
                </c:pt>
                <c:pt idx="36">
                  <c:v>342.46</c:v>
                </c:pt>
                <c:pt idx="37">
                  <c:v>339.98</c:v>
                </c:pt>
                <c:pt idx="38">
                  <c:v>355.22</c:v>
                </c:pt>
                <c:pt idx="39">
                  <c:v>351.96</c:v>
                </c:pt>
                <c:pt idx="40">
                  <c:v>358.39</c:v>
                </c:pt>
                <c:pt idx="41">
                  <c:v>349.43</c:v>
                </c:pt>
                <c:pt idx="42">
                  <c:v>355.59</c:v>
                </c:pt>
                <c:pt idx="43">
                  <c:v>358.98</c:v>
                </c:pt>
                <c:pt idx="44">
                  <c:v>351.94</c:v>
                </c:pt>
                <c:pt idx="45">
                  <c:v>362.55</c:v>
                </c:pt>
                <c:pt idx="46">
                  <c:v>369.63</c:v>
                </c:pt>
                <c:pt idx="47">
                  <c:v>376.47</c:v>
                </c:pt>
                <c:pt idx="48">
                  <c:v>385.98</c:v>
                </c:pt>
                <c:pt idx="49">
                  <c:v>372.97</c:v>
                </c:pt>
                <c:pt idx="50">
                  <c:v>362.05</c:v>
                </c:pt>
                <c:pt idx="51">
                  <c:v>354.13</c:v>
                </c:pt>
                <c:pt idx="52">
                  <c:v>344.29</c:v>
                </c:pt>
                <c:pt idx="53">
                  <c:v>340.3</c:v>
                </c:pt>
                <c:pt idx="54">
                  <c:v>342.66</c:v>
                </c:pt>
                <c:pt idx="55">
                  <c:v>349.24</c:v>
                </c:pt>
                <c:pt idx="56">
                  <c:v>349.33</c:v>
                </c:pt>
                <c:pt idx="57">
                  <c:v>354.15</c:v>
                </c:pt>
                <c:pt idx="58">
                  <c:v>351.33</c:v>
                </c:pt>
                <c:pt idx="59">
                  <c:v>344.13</c:v>
                </c:pt>
                <c:pt idx="60">
                  <c:v>356.7</c:v>
                </c:pt>
                <c:pt idx="61">
                  <c:v>324.63</c:v>
                </c:pt>
                <c:pt idx="62">
                  <c:v>345.02</c:v>
                </c:pt>
                <c:pt idx="63">
                  <c:v>345.5</c:v>
                </c:pt>
                <c:pt idx="64">
                  <c:v>336.41</c:v>
                </c:pt>
                <c:pt idx="65">
                  <c:v>335.49</c:v>
                </c:pt>
                <c:pt idx="66">
                  <c:v>338.37</c:v>
                </c:pt>
                <c:pt idx="67">
                  <c:v>338.18</c:v>
                </c:pt>
                <c:pt idx="68">
                  <c:v>333.39</c:v>
                </c:pt>
                <c:pt idx="69">
                  <c:v>329.91</c:v>
                </c:pt>
                <c:pt idx="70">
                  <c:v>327.9</c:v>
                </c:pt>
                <c:pt idx="71">
                  <c:v>334.53</c:v>
                </c:pt>
                <c:pt idx="72">
                  <c:v>336.1</c:v>
                </c:pt>
                <c:pt idx="73">
                  <c:v>339.31</c:v>
                </c:pt>
                <c:pt idx="74">
                  <c:v>338.94</c:v>
                </c:pt>
                <c:pt idx="75">
                  <c:v>338.79</c:v>
                </c:pt>
                <c:pt idx="76">
                  <c:v>344.94</c:v>
                </c:pt>
                <c:pt idx="77">
                  <c:v>345.35</c:v>
                </c:pt>
                <c:pt idx="78">
                  <c:v>346.17</c:v>
                </c:pt>
                <c:pt idx="79">
                  <c:v>360</c:v>
                </c:pt>
                <c:pt idx="80">
                  <c:v>364.09</c:v>
                </c:pt>
                <c:pt idx="81">
                  <c:v>359.87</c:v>
                </c:pt>
                <c:pt idx="82">
                  <c:v>359.63</c:v>
                </c:pt>
                <c:pt idx="83">
                  <c:v>369.57</c:v>
                </c:pt>
                <c:pt idx="84">
                  <c:v>336.67</c:v>
                </c:pt>
                <c:pt idx="85">
                  <c:v>345.65</c:v>
                </c:pt>
                <c:pt idx="86">
                  <c:v>334.89</c:v>
                </c:pt>
                <c:pt idx="87">
                  <c:v>306.10000000000002</c:v>
                </c:pt>
                <c:pt idx="88">
                  <c:v>302.39</c:v>
                </c:pt>
                <c:pt idx="89">
                  <c:v>298.24</c:v>
                </c:pt>
                <c:pt idx="90">
                  <c:v>297.39</c:v>
                </c:pt>
                <c:pt idx="91">
                  <c:v>308.64999999999998</c:v>
                </c:pt>
                <c:pt idx="92">
                  <c:v>300.25</c:v>
                </c:pt>
                <c:pt idx="93">
                  <c:v>298.01</c:v>
                </c:pt>
                <c:pt idx="94">
                  <c:v>294.23</c:v>
                </c:pt>
                <c:pt idx="95">
                  <c:v>294</c:v>
                </c:pt>
                <c:pt idx="96">
                  <c:v>289.60000000000002</c:v>
                </c:pt>
                <c:pt idx="97">
                  <c:v>291.17</c:v>
                </c:pt>
                <c:pt idx="98">
                  <c:v>294.91000000000003</c:v>
                </c:pt>
                <c:pt idx="99">
                  <c:v>305.76</c:v>
                </c:pt>
                <c:pt idx="100">
                  <c:v>306.33999999999997</c:v>
                </c:pt>
                <c:pt idx="101">
                  <c:v>311.23</c:v>
                </c:pt>
                <c:pt idx="102">
                  <c:v>309.08999999999997</c:v>
                </c:pt>
                <c:pt idx="103">
                  <c:v>312.83</c:v>
                </c:pt>
                <c:pt idx="104">
                  <c:v>303.89999999999998</c:v>
                </c:pt>
                <c:pt idx="105">
                  <c:v>304.97000000000003</c:v>
                </c:pt>
                <c:pt idx="106">
                  <c:v>303.76</c:v>
                </c:pt>
                <c:pt idx="107">
                  <c:v>301.67</c:v>
                </c:pt>
                <c:pt idx="108">
                  <c:v>292.93</c:v>
                </c:pt>
                <c:pt idx="109">
                  <c:v>297.72000000000003</c:v>
                </c:pt>
                <c:pt idx="110">
                  <c:v>288.64</c:v>
                </c:pt>
                <c:pt idx="111">
                  <c:v>293.7</c:v>
                </c:pt>
                <c:pt idx="112">
                  <c:v>302.62</c:v>
                </c:pt>
                <c:pt idx="113">
                  <c:v>297.42</c:v>
                </c:pt>
                <c:pt idx="114">
                  <c:v>294.3</c:v>
                </c:pt>
                <c:pt idx="115">
                  <c:v>290.18</c:v>
                </c:pt>
                <c:pt idx="116">
                  <c:v>288.70999999999998</c:v>
                </c:pt>
                <c:pt idx="117">
                  <c:v>283.69</c:v>
                </c:pt>
                <c:pt idx="118">
                  <c:v>278.58999999999997</c:v>
                </c:pt>
                <c:pt idx="119">
                  <c:v>288.20999999999998</c:v>
                </c:pt>
                <c:pt idx="120">
                  <c:v>283.33999999999997</c:v>
                </c:pt>
                <c:pt idx="121">
                  <c:v>286.45</c:v>
                </c:pt>
                <c:pt idx="122">
                  <c:v>280.81</c:v>
                </c:pt>
                <c:pt idx="123">
                  <c:v>280.94</c:v>
                </c:pt>
                <c:pt idx="124">
                  <c:v>275.60000000000002</c:v>
                </c:pt>
                <c:pt idx="125">
                  <c:v>274.38</c:v>
                </c:pt>
                <c:pt idx="126">
                  <c:v>275.39999999999998</c:v>
                </c:pt>
                <c:pt idx="127">
                  <c:v>277.89999999999998</c:v>
                </c:pt>
                <c:pt idx="128">
                  <c:v>271.8</c:v>
                </c:pt>
                <c:pt idx="129">
                  <c:v>274.18</c:v>
                </c:pt>
                <c:pt idx="130">
                  <c:v>275.18</c:v>
                </c:pt>
                <c:pt idx="131">
                  <c:v>269.89999999999998</c:v>
                </c:pt>
                <c:pt idx="132">
                  <c:v>264.74</c:v>
                </c:pt>
                <c:pt idx="133">
                  <c:v>275.64999999999998</c:v>
                </c:pt>
                <c:pt idx="134">
                  <c:v>269.35000000000002</c:v>
                </c:pt>
                <c:pt idx="135">
                  <c:v>270.17</c:v>
                </c:pt>
                <c:pt idx="136">
                  <c:v>264.64999999999998</c:v>
                </c:pt>
                <c:pt idx="137">
                  <c:v>263.77</c:v>
                </c:pt>
                <c:pt idx="138">
                  <c:v>253.77</c:v>
                </c:pt>
                <c:pt idx="139">
                  <c:v>249.99</c:v>
                </c:pt>
                <c:pt idx="140">
                  <c:v>251.26</c:v>
                </c:pt>
                <c:pt idx="141">
                  <c:v>249.37</c:v>
                </c:pt>
                <c:pt idx="142">
                  <c:v>252.1</c:v>
                </c:pt>
                <c:pt idx="143">
                  <c:v>248.7</c:v>
                </c:pt>
                <c:pt idx="144">
                  <c:v>256.07</c:v>
                </c:pt>
                <c:pt idx="145">
                  <c:v>252.91</c:v>
                </c:pt>
                <c:pt idx="146">
                  <c:v>244.63</c:v>
                </c:pt>
                <c:pt idx="147">
                  <c:v>244.28</c:v>
                </c:pt>
              </c:numCache>
            </c:numRef>
          </c:val>
          <c:extLst>
            <c:ext xmlns:c16="http://schemas.microsoft.com/office/drawing/2014/chart" uri="{C3380CC4-5D6E-409C-BE32-E72D297353CC}">
              <c16:uniqueId val="{00000000-7C25-A943-93B3-ACD238F1BE9A}"/>
            </c:ext>
          </c:extLst>
        </c:ser>
        <c:dLbls>
          <c:showLegendKey val="0"/>
          <c:showVal val="0"/>
          <c:showCatName val="0"/>
          <c:showSerName val="0"/>
          <c:showPercent val="0"/>
          <c:showBubbleSize val="0"/>
        </c:dLbls>
        <c:axId val="1274939135"/>
        <c:axId val="1546112959"/>
      </c:areaChart>
      <c:dateAx>
        <c:axId val="1274939135"/>
        <c:scaling>
          <c:orientation val="minMax"/>
          <c:min val="45816"/>
        </c:scaling>
        <c:delete val="0"/>
        <c:axPos val="b"/>
        <c:numFmt formatCode="m/d/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546112959"/>
        <c:crosses val="autoZero"/>
        <c:auto val="1"/>
        <c:lblOffset val="100"/>
        <c:baseTimeUnit val="days"/>
      </c:dateAx>
      <c:valAx>
        <c:axId val="15461129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274939135"/>
        <c:crossesAt val="45817"/>
        <c:crossBetween val="midCat"/>
      </c:valAx>
      <c:spPr>
        <a:noFill/>
        <a:ln>
          <a:noFill/>
        </a:ln>
        <a:effectLst/>
      </c:spPr>
    </c:plotArea>
    <c:plotVisOnly val="1"/>
    <c:dispBlanksAs val="zero"/>
    <c:showDLblsOverMax val="0"/>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0">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25400</xdr:colOff>
      <xdr:row>0</xdr:row>
      <xdr:rowOff>63500</xdr:rowOff>
    </xdr:from>
    <xdr:to>
      <xdr:col>10</xdr:col>
      <xdr:colOff>0</xdr:colOff>
      <xdr:row>3</xdr:row>
      <xdr:rowOff>0</xdr:rowOff>
    </xdr:to>
    <xdr:sp macro="" textlink="">
      <xdr:nvSpPr>
        <xdr:cNvPr id="4" name="TextBox 3">
          <a:extLst>
            <a:ext uri="{FF2B5EF4-FFF2-40B4-BE49-F238E27FC236}">
              <a16:creationId xmlns:a16="http://schemas.microsoft.com/office/drawing/2014/main" id="{4330C5E6-3E1B-AD4C-A77F-74AEA6278CDB}"/>
            </a:ext>
          </a:extLst>
        </xdr:cNvPr>
        <xdr:cNvSpPr txBox="1"/>
      </xdr:nvSpPr>
      <xdr:spPr>
        <a:xfrm>
          <a:off x="863600" y="63500"/>
          <a:ext cx="12738100"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rgbClr val="FF0000"/>
              </a:solidFill>
            </a:rPr>
            <a:t>On</a:t>
          </a:r>
          <a:r>
            <a:rPr lang="en-US" sz="1400" baseline="0">
              <a:solidFill>
                <a:srgbClr val="FF0000"/>
              </a:solidFill>
            </a:rPr>
            <a:t> this tab you will copy your entire projection &amp; valuation.  Then you will change assumptions (which you must highlight in yellow) so that the EMM share price approximately equals current market.  You must change a variety of operating assumptions not just the EMM Exit Mult assumption.</a:t>
          </a:r>
          <a:endParaRPr lang="en-US"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212437</xdr:colOff>
      <xdr:row>13</xdr:row>
      <xdr:rowOff>189346</xdr:rowOff>
    </xdr:from>
    <xdr:to>
      <xdr:col>49</xdr:col>
      <xdr:colOff>637309</xdr:colOff>
      <xdr:row>24</xdr:row>
      <xdr:rowOff>159327</xdr:rowOff>
    </xdr:to>
    <xdr:sp macro="" textlink="">
      <xdr:nvSpPr>
        <xdr:cNvPr id="2" name="TextBox 1">
          <a:extLst>
            <a:ext uri="{FF2B5EF4-FFF2-40B4-BE49-F238E27FC236}">
              <a16:creationId xmlns:a16="http://schemas.microsoft.com/office/drawing/2014/main" id="{41DFB20A-FBF6-304F-AA35-B833B9338117}"/>
            </a:ext>
          </a:extLst>
        </xdr:cNvPr>
        <xdr:cNvSpPr txBox="1"/>
      </xdr:nvSpPr>
      <xdr:spPr>
        <a:xfrm>
          <a:off x="29168437" y="3923146"/>
          <a:ext cx="9645072" cy="2484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RATIONALE FOR THREE BEST COMPS:  </a:t>
          </a:r>
        </a:p>
        <a:p>
          <a:endParaRPr lang="en-US" sz="1100">
            <a:solidFill>
              <a:srgbClr val="FF0000"/>
            </a:solidFill>
          </a:endParaRPr>
        </a:p>
        <a:p>
          <a:r>
            <a:rPr lang="en-US" b="1"/>
            <a:t>Nvidia</a:t>
          </a:r>
          <a:r>
            <a:rPr lang="en-US" b="0"/>
            <a:t>:</a:t>
          </a:r>
          <a:r>
            <a:rPr lang="en-US" b="0" baseline="0"/>
            <a:t> </a:t>
          </a:r>
          <a:r>
            <a:rPr lang="en-US"/>
            <a:t>Most directly comparable on the AI semiconductor side, which is AVGO's primary growth driver. Both are the dominant players in AI data center infrastructure: Nvidia via GPUs, Broadcom via custom XPUs and Ethernet networking silicon. They share the same hyperscaler customer base (Google, Meta, Microsoft, ByteDance) and are both benefiting from the same AI capex cycle. The key difference is Nvidia sells standardized GPUs while Broadcom sells custom silicon, but the end market exposure is nearly identical.</a:t>
          </a:r>
        </a:p>
        <a:p>
          <a:endParaRPr lang="en-US"/>
        </a:p>
        <a:p>
          <a:r>
            <a:rPr lang="en-US" b="1"/>
            <a:t>AMD</a:t>
          </a:r>
          <a:r>
            <a:rPr lang="en-US" b="0"/>
            <a:t>:</a:t>
          </a:r>
          <a:r>
            <a:rPr lang="en-US" b="0" baseline="0"/>
            <a:t> </a:t>
          </a:r>
          <a:r>
            <a:rPr lang="en-US"/>
            <a:t>Closest business model overlap. Both are fabless semiconductor companies with diversified product portfolios spanning data center, networking, and embedded markets. AMD's acquisition of Xilinx mirrors Broadcom's M&amp;A-driven strategy, and both compete directly in data center accelerators (AMD's Instinct vs. Broadcom's XPUs) and networking (AMD's Pensando DPUs vs. Broadcom's NICs). The fabless model means comparable capital intensity and margin structures.</a:t>
          </a:r>
        </a:p>
        <a:p>
          <a:endParaRPr lang="en-US"/>
        </a:p>
        <a:p>
          <a:r>
            <a:rPr lang="en-US" b="1"/>
            <a:t>Qualcomm</a:t>
          </a:r>
          <a:r>
            <a:rPr lang="en-US" b="0"/>
            <a:t>:</a:t>
          </a:r>
          <a:r>
            <a:rPr lang="en-US" b="0" baseline="0"/>
            <a:t> </a:t>
          </a:r>
          <a:r>
            <a:rPr lang="en-US"/>
            <a:t>Best comp for Broadcom's non-AI semiconductor business. Both are dominant in wireless connectivity (Qualcomm in cellular modems, Broadcom in WiFi/Bluetooth), both have significant IP licensing revenue streams, and both share exposure to the smartphone OEM cycle (Apple is a major customer for both). Qualcomm also has a similar financial profile — mature cash-generative semiconductor platform with consistent capital returns.</a:t>
          </a:r>
        </a:p>
        <a:p>
          <a:endParaRPr lang="en-US" sz="1100">
            <a:solidFill>
              <a:srgbClr val="FF0000"/>
            </a:solidFill>
          </a:endParaRPr>
        </a:p>
        <a:p>
          <a:endParaRPr 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50800</xdr:colOff>
      <xdr:row>26</xdr:row>
      <xdr:rowOff>25400</xdr:rowOff>
    </xdr:from>
    <xdr:to>
      <xdr:col>8</xdr:col>
      <xdr:colOff>215900</xdr:colOff>
      <xdr:row>28</xdr:row>
      <xdr:rowOff>406400</xdr:rowOff>
    </xdr:to>
    <xdr:sp macro="" textlink="">
      <xdr:nvSpPr>
        <xdr:cNvPr id="2" name="TextBox 1">
          <a:extLst>
            <a:ext uri="{FF2B5EF4-FFF2-40B4-BE49-F238E27FC236}">
              <a16:creationId xmlns:a16="http://schemas.microsoft.com/office/drawing/2014/main" id="{3E140C4F-96A9-9E4F-8B39-31D3018776D6}"/>
            </a:ext>
          </a:extLst>
        </xdr:cNvPr>
        <xdr:cNvSpPr txBox="1"/>
      </xdr:nvSpPr>
      <xdr:spPr>
        <a:xfrm>
          <a:off x="1828800" y="5308600"/>
          <a:ext cx="5499100" cy="142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Kroll (formerly D&amp;P) adjusts</a:t>
          </a:r>
          <a:r>
            <a:rPr lang="en-US" sz="1400" baseline="0"/>
            <a:t> their Rf% and Equity Risk Premium (ERP=Return to Mkt - Rf%) periodically based on market developments.  The data under Rf% is Kroll's normalized risk-free rate.  Kroll advises that valuations should use the greater of 1) the normalized Rf% or 2) the current spot yield on the 20Y Treasury.</a:t>
          </a:r>
          <a:endParaRPr lang="en-US"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733628</xdr:colOff>
      <xdr:row>21</xdr:row>
      <xdr:rowOff>87550</xdr:rowOff>
    </xdr:from>
    <xdr:to>
      <xdr:col>24</xdr:col>
      <xdr:colOff>360734</xdr:colOff>
      <xdr:row>28</xdr:row>
      <xdr:rowOff>277239</xdr:rowOff>
    </xdr:to>
    <xdr:graphicFrame macro="">
      <xdr:nvGraphicFramePr>
        <xdr:cNvPr id="5" name="Chart 4">
          <a:extLst>
            <a:ext uri="{FF2B5EF4-FFF2-40B4-BE49-F238E27FC236}">
              <a16:creationId xmlns:a16="http://schemas.microsoft.com/office/drawing/2014/main" id="{FC3CDF87-63C8-4A55-5AD2-4B47112D8E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615950</xdr:colOff>
      <xdr:row>9</xdr:row>
      <xdr:rowOff>222250</xdr:rowOff>
    </xdr:from>
    <xdr:to>
      <xdr:col>14</xdr:col>
      <xdr:colOff>317500</xdr:colOff>
      <xdr:row>26</xdr:row>
      <xdr:rowOff>12700</xdr:rowOff>
    </xdr:to>
    <xdr:graphicFrame macro="">
      <xdr:nvGraphicFramePr>
        <xdr:cNvPr id="2" name="Chart 1">
          <a:extLst>
            <a:ext uri="{FF2B5EF4-FFF2-40B4-BE49-F238E27FC236}">
              <a16:creationId xmlns:a16="http://schemas.microsoft.com/office/drawing/2014/main" id="{FE5803DB-1A65-89A4-C3F0-54DF9B44B2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cedu-my.sharepoint.com/TEMP/DEAL6_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DEAL6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Financing B"/>
      <sheetName val="GenGelbudget"/>
      <sheetName val="Final Case FCF B"/>
      <sheetName val="Tablet Sales"/>
      <sheetName val="Sensitivities"/>
      <sheetName val="GelTex Offer"/>
      <sheetName val="Optimistic FCF"/>
      <sheetName val="Pessimistic FCF"/>
      <sheetName val="Value"/>
      <sheetName val="Daily_Cost"/>
      <sheetName val="Mkt_size"/>
      <sheetName val="Reinvestment Risk"/>
      <sheetName val="Cvt Bond"/>
      <sheetName val="BootStrapping"/>
      <sheetName val="Binomial Options"/>
      <sheetName val="MBS Anal"/>
      <sheetName val="W3 MBS Tranching"/>
      <sheetName val="Credit Exp"/>
      <sheetName val="Financing_B"/>
      <sheetName val="Final_Case_FCF_B"/>
      <sheetName val="Tablet_Sales"/>
      <sheetName val="GelTex_Offer"/>
      <sheetName val="Optimistic_FCF"/>
      <sheetName val="Pessimistic_FCF"/>
      <sheetName val="Reinvestment_Risk"/>
      <sheetName val="Cvt_Bond"/>
      <sheetName val="Binomial_Options"/>
      <sheetName val="MBS_Anal"/>
      <sheetName val="W3_MBS_Tranching"/>
      <sheetName val="Credit_Ex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Financing B"/>
      <sheetName val="GenGelbudget"/>
      <sheetName val="Final Case FCF B"/>
      <sheetName val="Tablet Sales"/>
      <sheetName val="Sensitivities"/>
      <sheetName val="GelTex Offer"/>
      <sheetName val="Optimistic FCF"/>
      <sheetName val="Pessimistic FCF"/>
      <sheetName val="Value"/>
      <sheetName val="Daily_Cost"/>
      <sheetName val="Mkt_size"/>
      <sheetName val="Reinvestment Risk"/>
      <sheetName val="Cvt Bond"/>
      <sheetName val="BootStrapping"/>
      <sheetName val="Binomial Options"/>
      <sheetName val="MBS Anal"/>
      <sheetName val="W3 MBS Tranching"/>
      <sheetName val="Credit Exp"/>
      <sheetName val="Financing_B"/>
      <sheetName val="Final_Case_FCF_B"/>
      <sheetName val="Tablet_Sales"/>
      <sheetName val="GelTex_Offer"/>
      <sheetName val="Optimistic_FCF"/>
      <sheetName val="Pessimistic_FCF"/>
      <sheetName val="Reinvestment_Risk"/>
      <sheetName val="Cvt_Bond"/>
      <sheetName val="Binomial_Options"/>
      <sheetName val="MBS_Anal"/>
      <sheetName val="W3_MBS_Tranching"/>
      <sheetName val="Credit_Exp"/>
    </sheetNames>
    <sheetDataSet>
      <sheetData sheetId="0">
        <row r="24">
          <cell r="D24">
            <v>9</v>
          </cell>
        </row>
        <row r="25">
          <cell r="D25">
            <v>1</v>
          </cell>
        </row>
        <row r="34">
          <cell r="D34">
            <v>186000</v>
          </cell>
        </row>
        <row r="36">
          <cell r="D36">
            <v>0.9</v>
          </cell>
        </row>
        <row r="37">
          <cell r="D37">
            <v>165000</v>
          </cell>
        </row>
        <row r="38">
          <cell r="D38">
            <v>0.65</v>
          </cell>
        </row>
        <row r="39">
          <cell r="D39">
            <v>0.06</v>
          </cell>
        </row>
        <row r="40">
          <cell r="D40">
            <v>0.45</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5C931-07EB-3F4A-BE91-E0E27598E3DE}">
  <dimension ref="A2:U393"/>
  <sheetViews>
    <sheetView showGridLines="0" zoomScale="60" zoomScaleNormal="100" workbookViewId="0">
      <selection activeCell="G13" sqref="G13"/>
    </sheetView>
  </sheetViews>
  <sheetFormatPr baseColWidth="10" defaultColWidth="16.83203125" defaultRowHeight="24" customHeight="1" outlineLevelRow="1" x14ac:dyDescent="0.2"/>
  <cols>
    <col min="1" max="1" width="16.83203125" style="315"/>
    <col min="2" max="2" width="35.6640625" style="315" customWidth="1"/>
    <col min="3" max="15" width="16.83203125" style="315"/>
    <col min="16" max="16" width="16.83203125" style="316"/>
    <col min="17" max="16384" width="16.83203125" style="315"/>
  </cols>
  <sheetData>
    <row r="2" spans="2:15" ht="24" customHeight="1" x14ac:dyDescent="0.2">
      <c r="B2" s="315" t="s">
        <v>0</v>
      </c>
    </row>
    <row r="3" spans="2:15" ht="24" customHeight="1" thickBot="1" x14ac:dyDescent="0.25"/>
    <row r="4" spans="2:15" ht="24" customHeight="1" x14ac:dyDescent="0.2">
      <c r="B4" s="364" t="s">
        <v>3</v>
      </c>
      <c r="C4" s="365" t="s">
        <v>4</v>
      </c>
      <c r="D4" s="365" t="s">
        <v>5</v>
      </c>
      <c r="E4" s="365" t="s">
        <v>6</v>
      </c>
      <c r="F4" s="365" t="s">
        <v>7</v>
      </c>
      <c r="G4" s="365" t="s">
        <v>8</v>
      </c>
      <c r="H4" s="365" t="s">
        <v>9</v>
      </c>
      <c r="I4" s="365" t="s">
        <v>10</v>
      </c>
      <c r="J4" s="365" t="s">
        <v>11</v>
      </c>
      <c r="K4" s="365" t="s">
        <v>12</v>
      </c>
      <c r="L4" s="365" t="s">
        <v>13</v>
      </c>
      <c r="M4" s="365" t="s">
        <v>14</v>
      </c>
      <c r="N4" s="365" t="s">
        <v>15</v>
      </c>
      <c r="O4" s="366" t="s">
        <v>16</v>
      </c>
    </row>
    <row r="5" spans="2:15" ht="24" customHeight="1" outlineLevel="1" x14ac:dyDescent="0.2">
      <c r="B5" s="337" t="s">
        <v>19</v>
      </c>
      <c r="C5" s="419">
        <v>28949</v>
      </c>
      <c r="D5" s="419">
        <f>34960</f>
        <v>34960</v>
      </c>
      <c r="E5" s="419">
        <v>44847</v>
      </c>
      <c r="F5" s="317">
        <f t="shared" ref="F5:O5" si="0">E5*(1+F34)</f>
        <v>67270.5</v>
      </c>
      <c r="G5" s="317">
        <f t="shared" si="0"/>
        <v>91487.87999999999</v>
      </c>
      <c r="H5" s="317">
        <f t="shared" si="0"/>
        <v>111615.21359999999</v>
      </c>
      <c r="I5" s="317">
        <f t="shared" si="0"/>
        <v>129473.64777599998</v>
      </c>
      <c r="J5" s="317">
        <f t="shared" si="0"/>
        <v>145010.48550911999</v>
      </c>
      <c r="K5" s="317">
        <f t="shared" si="0"/>
        <v>158061.4292049408</v>
      </c>
      <c r="L5" s="317">
        <f t="shared" si="0"/>
        <v>170706.34354133607</v>
      </c>
      <c r="M5" s="317">
        <f t="shared" si="0"/>
        <v>182655.78758922961</v>
      </c>
      <c r="N5" s="317">
        <f t="shared" si="0"/>
        <v>191788.57696869111</v>
      </c>
      <c r="O5" s="338">
        <f t="shared" si="0"/>
        <v>200419.06293228219</v>
      </c>
    </row>
    <row r="6" spans="2:15" ht="24" customHeight="1" outlineLevel="1" x14ac:dyDescent="0.35">
      <c r="B6" s="337" t="s">
        <v>22</v>
      </c>
      <c r="C6" s="380">
        <f>C51</f>
        <v>8553</v>
      </c>
      <c r="D6" s="380">
        <f>D51</f>
        <v>9686</v>
      </c>
      <c r="E6" s="380">
        <f>E51</f>
        <v>11897</v>
      </c>
      <c r="F6" s="380">
        <f t="shared" ref="F6:O6" si="1">F5-F7</f>
        <v>18163.035000000003</v>
      </c>
      <c r="G6" s="380">
        <f t="shared" si="1"/>
        <v>24701.727599999998</v>
      </c>
      <c r="H6" s="380">
        <f t="shared" si="1"/>
        <v>30136.107671999998</v>
      </c>
      <c r="I6" s="380">
        <f t="shared" si="1"/>
        <v>34957.884899519995</v>
      </c>
      <c r="J6" s="380">
        <f t="shared" si="1"/>
        <v>39442.852058480639</v>
      </c>
      <c r="K6" s="380">
        <f t="shared" si="1"/>
        <v>42992.708743743904</v>
      </c>
      <c r="L6" s="380">
        <f t="shared" si="1"/>
        <v>46432.125443243422</v>
      </c>
      <c r="M6" s="380">
        <f t="shared" si="1"/>
        <v>49865.030011859693</v>
      </c>
      <c r="N6" s="380">
        <f t="shared" si="1"/>
        <v>52550.070089421381</v>
      </c>
      <c r="O6" s="405">
        <f t="shared" si="1"/>
        <v>55115.242306377593</v>
      </c>
    </row>
    <row r="7" spans="2:15" ht="24" customHeight="1" outlineLevel="1" x14ac:dyDescent="0.2">
      <c r="B7" s="337" t="s">
        <v>23</v>
      </c>
      <c r="C7" s="317">
        <f t="shared" ref="C7" si="2">C5-C6</f>
        <v>20396</v>
      </c>
      <c r="D7" s="317">
        <f>D5-D6</f>
        <v>25274</v>
      </c>
      <c r="E7" s="317">
        <f>E5-E6</f>
        <v>32950</v>
      </c>
      <c r="F7" s="317">
        <f t="shared" ref="F7:O7" si="3">F36*F5</f>
        <v>49107.464999999997</v>
      </c>
      <c r="G7" s="317">
        <f t="shared" si="3"/>
        <v>66786.152399999992</v>
      </c>
      <c r="H7" s="317">
        <f t="shared" si="3"/>
        <v>81479.10592799999</v>
      </c>
      <c r="I7" s="317">
        <f t="shared" si="3"/>
        <v>94515.762876479988</v>
      </c>
      <c r="J7" s="317">
        <f t="shared" si="3"/>
        <v>105567.63345063935</v>
      </c>
      <c r="K7" s="317">
        <f t="shared" si="3"/>
        <v>115068.72046119689</v>
      </c>
      <c r="L7" s="317">
        <f t="shared" si="3"/>
        <v>124274.21809809265</v>
      </c>
      <c r="M7" s="317">
        <f t="shared" si="3"/>
        <v>132790.75757736992</v>
      </c>
      <c r="N7" s="317">
        <f t="shared" si="3"/>
        <v>139238.50687926973</v>
      </c>
      <c r="O7" s="338">
        <f t="shared" si="3"/>
        <v>145303.8206259046</v>
      </c>
    </row>
    <row r="8" spans="2:15" ht="24" customHeight="1" outlineLevel="1" x14ac:dyDescent="0.2">
      <c r="B8" s="337"/>
      <c r="C8" s="317"/>
      <c r="D8" s="317"/>
      <c r="E8" s="317"/>
      <c r="F8" s="317"/>
      <c r="G8" s="317"/>
      <c r="H8" s="317"/>
      <c r="I8" s="317"/>
      <c r="J8" s="317"/>
      <c r="K8" s="317"/>
      <c r="L8" s="317"/>
      <c r="M8" s="317"/>
      <c r="N8" s="317"/>
      <c r="O8" s="338"/>
    </row>
    <row r="9" spans="2:15" ht="24" customHeight="1" outlineLevel="1" x14ac:dyDescent="0.2">
      <c r="B9" s="337" t="s">
        <v>26</v>
      </c>
      <c r="C9" s="419">
        <v>6870</v>
      </c>
      <c r="D9" s="419">
        <v>16614</v>
      </c>
      <c r="E9" s="419">
        <v>19040</v>
      </c>
      <c r="F9" s="317">
        <f t="shared" ref="F9:O9" si="4">E9*(1+F35)</f>
        <v>21324.800000000003</v>
      </c>
      <c r="G9" s="317">
        <f t="shared" si="4"/>
        <v>23030.784000000003</v>
      </c>
      <c r="H9" s="317">
        <f t="shared" si="4"/>
        <v>24412.631040000004</v>
      </c>
      <c r="I9" s="317">
        <f t="shared" si="4"/>
        <v>25633.262592000006</v>
      </c>
      <c r="J9" s="317">
        <f t="shared" si="4"/>
        <v>26914.925721600008</v>
      </c>
      <c r="K9" s="317">
        <f t="shared" si="4"/>
        <v>27991.52275046401</v>
      </c>
      <c r="L9" s="317">
        <f t="shared" si="4"/>
        <v>29111.183660482569</v>
      </c>
      <c r="M9" s="317">
        <f t="shared" si="4"/>
        <v>29984.519170297048</v>
      </c>
      <c r="N9" s="317">
        <f t="shared" si="4"/>
        <v>30884.05474540596</v>
      </c>
      <c r="O9" s="338">
        <f t="shared" si="4"/>
        <v>31810.576387768138</v>
      </c>
    </row>
    <row r="10" spans="2:15" ht="24" customHeight="1" outlineLevel="1" x14ac:dyDescent="0.35">
      <c r="B10" s="337" t="s">
        <v>29</v>
      </c>
      <c r="C10" s="406">
        <f>C54</f>
        <v>509</v>
      </c>
      <c r="D10" s="406">
        <f>D54</f>
        <v>2438</v>
      </c>
      <c r="E10" s="406">
        <f>E54</f>
        <v>1745</v>
      </c>
      <c r="F10" s="380">
        <f t="shared" ref="F10:O10" si="5">F9-F11</f>
        <v>2239.1039999999994</v>
      </c>
      <c r="G10" s="380">
        <f t="shared" si="5"/>
        <v>2533.3862399999998</v>
      </c>
      <c r="H10" s="380">
        <f t="shared" si="5"/>
        <v>2685.3894144000005</v>
      </c>
      <c r="I10" s="380">
        <f t="shared" si="5"/>
        <v>2819.6588851199995</v>
      </c>
      <c r="J10" s="380">
        <f t="shared" si="5"/>
        <v>2960.6418293759998</v>
      </c>
      <c r="K10" s="380">
        <f t="shared" si="5"/>
        <v>3079.0675025510391</v>
      </c>
      <c r="L10" s="380">
        <f t="shared" si="5"/>
        <v>3202.2302026530815</v>
      </c>
      <c r="M10" s="380">
        <f t="shared" si="5"/>
        <v>3298.2971087326732</v>
      </c>
      <c r="N10" s="380">
        <f t="shared" si="5"/>
        <v>3397.2460219946552</v>
      </c>
      <c r="O10" s="405">
        <f t="shared" si="5"/>
        <v>3499.1634026544962</v>
      </c>
    </row>
    <row r="11" spans="2:15" ht="24" customHeight="1" outlineLevel="1" x14ac:dyDescent="0.2">
      <c r="B11" s="337" t="s">
        <v>32</v>
      </c>
      <c r="C11" s="317">
        <f>C9-C10</f>
        <v>6361</v>
      </c>
      <c r="D11" s="317">
        <f t="shared" ref="D11:E11" si="6">D9-D10</f>
        <v>14176</v>
      </c>
      <c r="E11" s="317">
        <f t="shared" si="6"/>
        <v>17295</v>
      </c>
      <c r="F11" s="317">
        <f t="shared" ref="F11:O11" si="7">F9*F37</f>
        <v>19085.696000000004</v>
      </c>
      <c r="G11" s="317">
        <f t="shared" si="7"/>
        <v>20497.397760000003</v>
      </c>
      <c r="H11" s="317">
        <f t="shared" si="7"/>
        <v>21727.241625600003</v>
      </c>
      <c r="I11" s="317">
        <f t="shared" si="7"/>
        <v>22813.603706880007</v>
      </c>
      <c r="J11" s="317">
        <f t="shared" si="7"/>
        <v>23954.283892224008</v>
      </c>
      <c r="K11" s="317">
        <f t="shared" si="7"/>
        <v>24912.455247912971</v>
      </c>
      <c r="L11" s="317">
        <f t="shared" si="7"/>
        <v>25908.953457829488</v>
      </c>
      <c r="M11" s="317">
        <f t="shared" si="7"/>
        <v>26686.222061564375</v>
      </c>
      <c r="N11" s="317">
        <f t="shared" si="7"/>
        <v>27486.808723411305</v>
      </c>
      <c r="O11" s="338">
        <f t="shared" si="7"/>
        <v>28311.412985113642</v>
      </c>
    </row>
    <row r="12" spans="2:15" ht="24" customHeight="1" outlineLevel="1" x14ac:dyDescent="0.2">
      <c r="B12" s="337"/>
      <c r="C12" s="317"/>
      <c r="D12" s="317"/>
      <c r="E12" s="317"/>
      <c r="F12" s="317"/>
      <c r="G12" s="317"/>
      <c r="H12" s="317"/>
      <c r="I12" s="317"/>
      <c r="J12" s="317"/>
      <c r="K12" s="317"/>
      <c r="L12" s="317"/>
      <c r="M12" s="317"/>
      <c r="N12" s="317"/>
      <c r="O12" s="338"/>
    </row>
    <row r="13" spans="2:15" ht="24" customHeight="1" outlineLevel="1" x14ac:dyDescent="0.2">
      <c r="B13" s="337" t="s">
        <v>33</v>
      </c>
      <c r="C13" s="317">
        <f>C5+C9</f>
        <v>35819</v>
      </c>
      <c r="D13" s="317">
        <f t="shared" ref="C13:E14" si="8">D5+D9</f>
        <v>51574</v>
      </c>
      <c r="E13" s="317">
        <f t="shared" si="8"/>
        <v>63887</v>
      </c>
      <c r="F13" s="317">
        <f t="shared" ref="F13:O13" si="9">F5+F9</f>
        <v>88595.3</v>
      </c>
      <c r="G13" s="317">
        <f t="shared" si="9"/>
        <v>114518.66399999999</v>
      </c>
      <c r="H13" s="317">
        <f t="shared" si="9"/>
        <v>136027.84464</v>
      </c>
      <c r="I13" s="317">
        <f t="shared" si="9"/>
        <v>155106.91036799998</v>
      </c>
      <c r="J13" s="317">
        <f t="shared" si="9"/>
        <v>171925.41123072</v>
      </c>
      <c r="K13" s="317">
        <f t="shared" si="9"/>
        <v>186052.9519554048</v>
      </c>
      <c r="L13" s="317">
        <f t="shared" si="9"/>
        <v>199817.52720181865</v>
      </c>
      <c r="M13" s="317">
        <f t="shared" si="9"/>
        <v>212640.30675952666</v>
      </c>
      <c r="N13" s="317">
        <f t="shared" si="9"/>
        <v>222672.63171409708</v>
      </c>
      <c r="O13" s="338">
        <f t="shared" si="9"/>
        <v>232229.63932005034</v>
      </c>
    </row>
    <row r="14" spans="2:15" ht="24" customHeight="1" outlineLevel="1" x14ac:dyDescent="0.35">
      <c r="B14" s="337" t="s">
        <v>34</v>
      </c>
      <c r="C14" s="380">
        <f t="shared" si="8"/>
        <v>9062</v>
      </c>
      <c r="D14" s="380">
        <f t="shared" si="8"/>
        <v>12124</v>
      </c>
      <c r="E14" s="380">
        <f t="shared" si="8"/>
        <v>13642</v>
      </c>
      <c r="F14" s="380">
        <f t="shared" ref="F14:O14" si="10">F6+F10</f>
        <v>20402.139000000003</v>
      </c>
      <c r="G14" s="380">
        <f t="shared" si="10"/>
        <v>27235.113839999998</v>
      </c>
      <c r="H14" s="380">
        <f t="shared" si="10"/>
        <v>32821.497086399999</v>
      </c>
      <c r="I14" s="380">
        <f t="shared" si="10"/>
        <v>37777.543784639995</v>
      </c>
      <c r="J14" s="380">
        <f t="shared" si="10"/>
        <v>42403.493887856639</v>
      </c>
      <c r="K14" s="380">
        <f t="shared" si="10"/>
        <v>46071.776246294947</v>
      </c>
      <c r="L14" s="380">
        <f t="shared" si="10"/>
        <v>49634.355645896503</v>
      </c>
      <c r="M14" s="380">
        <f t="shared" si="10"/>
        <v>53163.327120592367</v>
      </c>
      <c r="N14" s="380">
        <f t="shared" si="10"/>
        <v>55947.316111416032</v>
      </c>
      <c r="O14" s="405">
        <f t="shared" si="10"/>
        <v>58614.405709032086</v>
      </c>
    </row>
    <row r="15" spans="2:15" ht="24" customHeight="1" outlineLevel="1" x14ac:dyDescent="0.2">
      <c r="B15" s="337" t="s">
        <v>38</v>
      </c>
      <c r="C15" s="317">
        <f t="shared" ref="C15:O15" si="11">C13-C14</f>
        <v>26757</v>
      </c>
      <c r="D15" s="317">
        <f t="shared" si="11"/>
        <v>39450</v>
      </c>
      <c r="E15" s="317">
        <f t="shared" si="11"/>
        <v>50245</v>
      </c>
      <c r="F15" s="317">
        <f t="shared" si="11"/>
        <v>68193.160999999993</v>
      </c>
      <c r="G15" s="317">
        <f t="shared" si="11"/>
        <v>87283.550159999984</v>
      </c>
      <c r="H15" s="317">
        <f t="shared" si="11"/>
        <v>103206.3475536</v>
      </c>
      <c r="I15" s="317">
        <f t="shared" si="11"/>
        <v>117329.36658335998</v>
      </c>
      <c r="J15" s="317">
        <f t="shared" si="11"/>
        <v>129521.91734286337</v>
      </c>
      <c r="K15" s="317">
        <f t="shared" si="11"/>
        <v>139981.17570910987</v>
      </c>
      <c r="L15" s="317">
        <f t="shared" si="11"/>
        <v>150183.17155592213</v>
      </c>
      <c r="M15" s="317">
        <f t="shared" si="11"/>
        <v>159476.97963893431</v>
      </c>
      <c r="N15" s="317">
        <f t="shared" si="11"/>
        <v>166725.31560268105</v>
      </c>
      <c r="O15" s="338">
        <f t="shared" si="11"/>
        <v>173615.23361101825</v>
      </c>
    </row>
    <row r="16" spans="2:15" ht="24" customHeight="1" outlineLevel="1" x14ac:dyDescent="0.2">
      <c r="B16" s="499" t="s">
        <v>42</v>
      </c>
      <c r="C16" s="317">
        <f>C71</f>
        <v>2171</v>
      </c>
      <c r="D16" s="317">
        <f>D71</f>
        <v>5670</v>
      </c>
      <c r="E16" s="317">
        <f>E71</f>
        <v>7568</v>
      </c>
      <c r="F16" s="317">
        <f t="shared" ref="F16:O16" si="12">F38*F13</f>
        <v>8859.5300000000007</v>
      </c>
      <c r="G16" s="317">
        <f t="shared" si="12"/>
        <v>10879.273079999999</v>
      </c>
      <c r="H16" s="317">
        <f t="shared" si="12"/>
        <v>12242.506017599999</v>
      </c>
      <c r="I16" s="317">
        <f t="shared" si="12"/>
        <v>13959.621933119997</v>
      </c>
      <c r="J16" s="317">
        <f t="shared" si="12"/>
        <v>15473.2870107648</v>
      </c>
      <c r="K16" s="317">
        <f t="shared" si="12"/>
        <v>15814.50091620941</v>
      </c>
      <c r="L16" s="317">
        <f t="shared" si="12"/>
        <v>16984.489812154585</v>
      </c>
      <c r="M16" s="317">
        <f t="shared" si="12"/>
        <v>17011.224540762134</v>
      </c>
      <c r="N16" s="317">
        <f t="shared" si="12"/>
        <v>17813.810537127767</v>
      </c>
      <c r="O16" s="338">
        <f t="shared" si="12"/>
        <v>18578.371145604029</v>
      </c>
    </row>
    <row r="17" spans="2:15" ht="24" customHeight="1" outlineLevel="1" x14ac:dyDescent="0.2">
      <c r="B17" s="499" t="s">
        <v>41</v>
      </c>
      <c r="C17" s="317">
        <f>-C61</f>
        <v>91</v>
      </c>
      <c r="D17" s="317">
        <f t="shared" ref="D17:E17" si="13">-D61</f>
        <v>187</v>
      </c>
      <c r="E17" s="317">
        <f t="shared" si="13"/>
        <v>182</v>
      </c>
      <c r="F17" s="317">
        <f>F182</f>
        <v>377</v>
      </c>
      <c r="G17" s="317">
        <f t="shared" ref="G17:O17" si="14">G182</f>
        <v>477</v>
      </c>
      <c r="H17" s="317">
        <f t="shared" si="14"/>
        <v>582</v>
      </c>
      <c r="I17" s="317">
        <f t="shared" si="14"/>
        <v>712</v>
      </c>
      <c r="J17" s="317">
        <f t="shared" si="14"/>
        <v>872</v>
      </c>
      <c r="K17" s="317">
        <f t="shared" si="14"/>
        <v>1072</v>
      </c>
      <c r="L17" s="317">
        <f t="shared" si="14"/>
        <v>1332</v>
      </c>
      <c r="M17" s="317">
        <f t="shared" si="14"/>
        <v>1652</v>
      </c>
      <c r="N17" s="317">
        <f t="shared" si="14"/>
        <v>2052</v>
      </c>
      <c r="O17" s="338">
        <f t="shared" si="14"/>
        <v>2552</v>
      </c>
    </row>
    <row r="18" spans="2:15" ht="24" customHeight="1" outlineLevel="1" x14ac:dyDescent="0.2">
      <c r="B18" s="499" t="s">
        <v>39</v>
      </c>
      <c r="C18" s="317">
        <f>C58</f>
        <v>3238</v>
      </c>
      <c r="D18" s="317">
        <f>D58</f>
        <v>5257</v>
      </c>
      <c r="E18" s="317">
        <f>E58</f>
        <v>5383</v>
      </c>
      <c r="F18" s="317">
        <f t="shared" ref="F18:O18" si="15">F42</f>
        <v>7995.7258249999995</v>
      </c>
      <c r="G18" s="317">
        <f t="shared" si="15"/>
        <v>10988.065810800001</v>
      </c>
      <c r="H18" s="317">
        <f t="shared" si="15"/>
        <v>12405.739431168</v>
      </c>
      <c r="I18" s="317">
        <f t="shared" si="15"/>
        <v>13851.047095862397</v>
      </c>
      <c r="J18" s="317">
        <f t="shared" si="15"/>
        <v>14699.62266022656</v>
      </c>
      <c r="K18" s="317">
        <f t="shared" si="15"/>
        <v>15730.777087829474</v>
      </c>
      <c r="L18" s="317">
        <f t="shared" si="15"/>
        <v>16325.091972388582</v>
      </c>
      <c r="M18" s="317">
        <f t="shared" si="15"/>
        <v>13332.547233822323</v>
      </c>
      <c r="N18" s="317">
        <f t="shared" si="15"/>
        <v>17980.815010913342</v>
      </c>
      <c r="O18" s="338">
        <f t="shared" si="15"/>
        <v>18752.543375094065</v>
      </c>
    </row>
    <row r="19" spans="2:15" ht="24" customHeight="1" outlineLevel="1" x14ac:dyDescent="0.35">
      <c r="B19" s="499" t="s">
        <v>40</v>
      </c>
      <c r="C19" s="380">
        <f>C63</f>
        <v>967</v>
      </c>
      <c r="D19" s="380">
        <f>D63</f>
        <v>3076</v>
      </c>
      <c r="E19" s="380">
        <f>E63</f>
        <v>2186</v>
      </c>
      <c r="F19" s="380">
        <f t="shared" ref="F19:O19" si="16">F13*F43</f>
        <v>4252.5744000000004</v>
      </c>
      <c r="G19" s="380">
        <f t="shared" si="16"/>
        <v>5267.8585439999997</v>
      </c>
      <c r="H19" s="380">
        <f t="shared" si="16"/>
        <v>5985.2251641599996</v>
      </c>
      <c r="I19" s="380">
        <f t="shared" si="16"/>
        <v>6514.4902354559999</v>
      </c>
      <c r="J19" s="380">
        <f t="shared" si="16"/>
        <v>6877.0164492288004</v>
      </c>
      <c r="K19" s="380">
        <f t="shared" si="16"/>
        <v>7442.1180782161919</v>
      </c>
      <c r="L19" s="380">
        <f t="shared" si="16"/>
        <v>7992.7010880727466</v>
      </c>
      <c r="M19" s="380">
        <f t="shared" si="16"/>
        <v>9037.2130372798838</v>
      </c>
      <c r="N19" s="380">
        <f t="shared" si="16"/>
        <v>10020.268427134368</v>
      </c>
      <c r="O19" s="405">
        <f t="shared" si="16"/>
        <v>10450.333769402265</v>
      </c>
    </row>
    <row r="20" spans="2:15" ht="24" customHeight="1" outlineLevel="1" x14ac:dyDescent="0.2">
      <c r="B20" s="513" t="s">
        <v>43</v>
      </c>
      <c r="C20" s="317">
        <f t="shared" ref="C20:O20" si="17">C15-C18-C19-C17-C16</f>
        <v>20290</v>
      </c>
      <c r="D20" s="317">
        <f t="shared" si="17"/>
        <v>25260</v>
      </c>
      <c r="E20" s="317">
        <f t="shared" si="17"/>
        <v>34926</v>
      </c>
      <c r="F20" s="317">
        <f t="shared" si="17"/>
        <v>46708.330774999995</v>
      </c>
      <c r="G20" s="317">
        <f t="shared" si="17"/>
        <v>59671.352725199977</v>
      </c>
      <c r="H20" s="317">
        <f t="shared" si="17"/>
        <v>71990.876940672009</v>
      </c>
      <c r="I20" s="317">
        <f t="shared" si="17"/>
        <v>82292.207318921588</v>
      </c>
      <c r="J20" s="317">
        <f t="shared" si="17"/>
        <v>91599.991222643192</v>
      </c>
      <c r="K20" s="317">
        <f t="shared" si="17"/>
        <v>99921.779626854797</v>
      </c>
      <c r="L20" s="317">
        <f t="shared" si="17"/>
        <v>107548.88868330621</v>
      </c>
      <c r="M20" s="317">
        <f t="shared" si="17"/>
        <v>118443.99482706998</v>
      </c>
      <c r="N20" s="317">
        <f t="shared" si="17"/>
        <v>118858.42162750558</v>
      </c>
      <c r="O20" s="338">
        <f t="shared" si="17"/>
        <v>123281.98532091788</v>
      </c>
    </row>
    <row r="21" spans="2:15" ht="24" customHeight="1" outlineLevel="1" x14ac:dyDescent="0.2">
      <c r="B21" s="499" t="s">
        <v>45</v>
      </c>
      <c r="C21" s="317">
        <f>C74</f>
        <v>3835</v>
      </c>
      <c r="D21" s="317">
        <f>D74</f>
        <v>10010</v>
      </c>
      <c r="E21" s="317">
        <f>E74</f>
        <v>8775</v>
      </c>
      <c r="F21" s="422">
        <f t="shared" ref="F21:O21" si="18">-F192-F165-F164</f>
        <v>8494.7900000000009</v>
      </c>
      <c r="G21" s="422">
        <f t="shared" si="18"/>
        <v>7631.2003892500006</v>
      </c>
      <c r="H21" s="422">
        <f t="shared" si="18"/>
        <v>6777.1064589825</v>
      </c>
      <c r="I21" s="422">
        <f t="shared" si="18"/>
        <v>5959.2454553667667</v>
      </c>
      <c r="J21" s="422">
        <f t="shared" si="18"/>
        <v>5101.1757234283286</v>
      </c>
      <c r="K21" s="422">
        <f t="shared" si="18"/>
        <v>4627.046599313464</v>
      </c>
      <c r="L21" s="422">
        <f t="shared" si="18"/>
        <v>3594.7866553364502</v>
      </c>
      <c r="M21" s="422">
        <f t="shared" si="18"/>
        <v>3230.3798415761134</v>
      </c>
      <c r="N21" s="422">
        <f t="shared" si="18"/>
        <v>3647.8759203660611</v>
      </c>
      <c r="O21" s="357">
        <f t="shared" si="18"/>
        <v>4050.0421253914687</v>
      </c>
    </row>
    <row r="22" spans="2:15" ht="24" customHeight="1" outlineLevel="1" x14ac:dyDescent="0.35">
      <c r="B22" s="499" t="s">
        <v>476</v>
      </c>
      <c r="C22" s="380">
        <f t="shared" ref="C22:O22" si="19">-C203</f>
        <v>0</v>
      </c>
      <c r="D22" s="380">
        <f t="shared" si="19"/>
        <v>0</v>
      </c>
      <c r="E22" s="380">
        <f t="shared" si="19"/>
        <v>0</v>
      </c>
      <c r="F22" s="380">
        <f t="shared" si="19"/>
        <v>0</v>
      </c>
      <c r="G22" s="380">
        <f t="shared" si="19"/>
        <v>0</v>
      </c>
      <c r="H22" s="380">
        <f t="shared" si="19"/>
        <v>0</v>
      </c>
      <c r="I22" s="380">
        <f t="shared" si="19"/>
        <v>0</v>
      </c>
      <c r="J22" s="380">
        <f t="shared" si="19"/>
        <v>0</v>
      </c>
      <c r="K22" s="380">
        <f t="shared" si="19"/>
        <v>0</v>
      </c>
      <c r="L22" s="380">
        <f t="shared" si="19"/>
        <v>0</v>
      </c>
      <c r="M22" s="380">
        <f t="shared" si="19"/>
        <v>0</v>
      </c>
      <c r="N22" s="380">
        <f t="shared" si="19"/>
        <v>0</v>
      </c>
      <c r="O22" s="405">
        <f t="shared" si="19"/>
        <v>0</v>
      </c>
    </row>
    <row r="23" spans="2:15" ht="24" customHeight="1" outlineLevel="1" x14ac:dyDescent="0.2">
      <c r="B23" s="513" t="s">
        <v>47</v>
      </c>
      <c r="C23" s="317">
        <f t="shared" ref="C23:O23" si="20">C20-C21-C22</f>
        <v>16455</v>
      </c>
      <c r="D23" s="317">
        <f t="shared" si="20"/>
        <v>15250</v>
      </c>
      <c r="E23" s="317">
        <f t="shared" si="20"/>
        <v>26151</v>
      </c>
      <c r="F23" s="317">
        <f>F20-F21-F22</f>
        <v>38213.540774999994</v>
      </c>
      <c r="G23" s="317">
        <f t="shared" si="20"/>
        <v>52040.152335949977</v>
      </c>
      <c r="H23" s="317">
        <f t="shared" si="20"/>
        <v>65213.770481689513</v>
      </c>
      <c r="I23" s="317">
        <f t="shared" si="20"/>
        <v>76332.961863554825</v>
      </c>
      <c r="J23" s="317">
        <f t="shared" si="20"/>
        <v>86498.815499214863</v>
      </c>
      <c r="K23" s="317">
        <f t="shared" si="20"/>
        <v>95294.733027541341</v>
      </c>
      <c r="L23" s="317">
        <f t="shared" si="20"/>
        <v>103954.10202796977</v>
      </c>
      <c r="M23" s="317">
        <f t="shared" si="20"/>
        <v>115213.61498549387</v>
      </c>
      <c r="N23" s="317">
        <f t="shared" si="20"/>
        <v>115210.54570713952</v>
      </c>
      <c r="O23" s="338">
        <f t="shared" si="20"/>
        <v>119231.94319552642</v>
      </c>
    </row>
    <row r="24" spans="2:15" ht="24" customHeight="1" outlineLevel="1" x14ac:dyDescent="0.2">
      <c r="B24" s="499" t="s">
        <v>52</v>
      </c>
      <c r="C24" s="317">
        <f>-C65</f>
        <v>535</v>
      </c>
      <c r="D24" s="317">
        <f t="shared" ref="D24:E24" si="21">-D65</f>
        <v>461</v>
      </c>
      <c r="E24" s="317">
        <f t="shared" si="21"/>
        <v>347</v>
      </c>
      <c r="F24" s="317">
        <f>F142</f>
        <v>93.814099999999996</v>
      </c>
      <c r="G24" s="317">
        <f t="shared" ref="G24:O24" si="22">G142</f>
        <v>838.21736352097719</v>
      </c>
      <c r="H24" s="317">
        <f t="shared" si="22"/>
        <v>1504.1116046682066</v>
      </c>
      <c r="I24" s="317">
        <f t="shared" si="22"/>
        <v>2719.6730816811346</v>
      </c>
      <c r="J24" s="317">
        <f t="shared" si="22"/>
        <v>3793.9095121466962</v>
      </c>
      <c r="K24" s="317">
        <f t="shared" si="22"/>
        <v>5260.0798211666788</v>
      </c>
      <c r="L24" s="317">
        <f t="shared" si="22"/>
        <v>6804.4586594185866</v>
      </c>
      <c r="M24" s="317">
        <f t="shared" si="22"/>
        <v>8577.406511832869</v>
      </c>
      <c r="N24" s="317">
        <f t="shared" si="22"/>
        <v>10542.37414672564</v>
      </c>
      <c r="O24" s="338">
        <f t="shared" si="22"/>
        <v>12536.274589464456</v>
      </c>
    </row>
    <row r="25" spans="2:15" ht="24" customHeight="1" outlineLevel="1" x14ac:dyDescent="0.2">
      <c r="B25" s="499" t="s">
        <v>49</v>
      </c>
      <c r="C25" s="419">
        <v>-1622</v>
      </c>
      <c r="D25" s="419">
        <v>-3953</v>
      </c>
      <c r="E25" s="419">
        <v>-3210</v>
      </c>
      <c r="F25" s="317">
        <f t="shared" ref="F25:O25" si="23">-F247</f>
        <v>-3030.4</v>
      </c>
      <c r="G25" s="317">
        <f t="shared" si="23"/>
        <v>-2843.82</v>
      </c>
      <c r="H25" s="317">
        <f t="shared" si="23"/>
        <v>-2315.88</v>
      </c>
      <c r="I25" s="317">
        <f t="shared" si="23"/>
        <v>-2123.73</v>
      </c>
      <c r="J25" s="317">
        <f t="shared" si="23"/>
        <v>-1554.2549999999999</v>
      </c>
      <c r="K25" s="317">
        <f t="shared" si="23"/>
        <v>-1342.2149999999999</v>
      </c>
      <c r="L25" s="317">
        <f t="shared" si="23"/>
        <v>-1083.4649999999999</v>
      </c>
      <c r="M25" s="317">
        <f t="shared" si="23"/>
        <v>-900.08999999999992</v>
      </c>
      <c r="N25" s="317">
        <f t="shared" si="23"/>
        <v>-720.08999999999992</v>
      </c>
      <c r="O25" s="338">
        <f t="shared" si="23"/>
        <v>-494.82</v>
      </c>
    </row>
    <row r="26" spans="2:15" ht="24" customHeight="1" outlineLevel="1" x14ac:dyDescent="0.35">
      <c r="B26" s="499" t="s">
        <v>53</v>
      </c>
      <c r="C26" s="380">
        <f>C67</f>
        <v>-271</v>
      </c>
      <c r="D26" s="380">
        <f t="shared" ref="D26:E26" si="24">D67</f>
        <v>-1842</v>
      </c>
      <c r="E26" s="380">
        <f t="shared" si="24"/>
        <v>-559</v>
      </c>
      <c r="F26" s="380">
        <f t="shared" ref="F26:O26" si="25">F44*F13</f>
        <v>0</v>
      </c>
      <c r="G26" s="380">
        <f t="shared" si="25"/>
        <v>0</v>
      </c>
      <c r="H26" s="380">
        <f t="shared" si="25"/>
        <v>0</v>
      </c>
      <c r="I26" s="380">
        <f t="shared" si="25"/>
        <v>0</v>
      </c>
      <c r="J26" s="380">
        <f t="shared" si="25"/>
        <v>0</v>
      </c>
      <c r="K26" s="380">
        <f t="shared" si="25"/>
        <v>0</v>
      </c>
      <c r="L26" s="380">
        <f t="shared" si="25"/>
        <v>0</v>
      </c>
      <c r="M26" s="380">
        <f t="shared" si="25"/>
        <v>0</v>
      </c>
      <c r="N26" s="380">
        <f t="shared" si="25"/>
        <v>0</v>
      </c>
      <c r="O26" s="405">
        <f t="shared" si="25"/>
        <v>0</v>
      </c>
    </row>
    <row r="27" spans="2:15" ht="24" customHeight="1" outlineLevel="1" x14ac:dyDescent="0.2">
      <c r="B27" s="513" t="s">
        <v>56</v>
      </c>
      <c r="C27" s="317">
        <f t="shared" ref="C27:O27" si="26">C23+C25+C24+C26</f>
        <v>15097</v>
      </c>
      <c r="D27" s="317">
        <f t="shared" si="26"/>
        <v>9916</v>
      </c>
      <c r="E27" s="317">
        <f t="shared" si="26"/>
        <v>22729</v>
      </c>
      <c r="F27" s="317">
        <f t="shared" si="26"/>
        <v>35276.954874999996</v>
      </c>
      <c r="G27" s="317">
        <f t="shared" si="26"/>
        <v>50034.549699470954</v>
      </c>
      <c r="H27" s="317">
        <f t="shared" si="26"/>
        <v>64402.002086357723</v>
      </c>
      <c r="I27" s="317">
        <f t="shared" si="26"/>
        <v>76928.904945235961</v>
      </c>
      <c r="J27" s="317">
        <f t="shared" si="26"/>
        <v>88738.470011361554</v>
      </c>
      <c r="K27" s="317">
        <f t="shared" si="26"/>
        <v>99212.597848708028</v>
      </c>
      <c r="L27" s="317">
        <f t="shared" si="26"/>
        <v>109675.09568738836</v>
      </c>
      <c r="M27" s="317">
        <f t="shared" si="26"/>
        <v>122890.93149732675</v>
      </c>
      <c r="N27" s="317">
        <f t="shared" si="26"/>
        <v>125032.82985386517</v>
      </c>
      <c r="O27" s="338">
        <f t="shared" si="26"/>
        <v>131273.39778499087</v>
      </c>
    </row>
    <row r="28" spans="2:15" ht="24" customHeight="1" outlineLevel="1" x14ac:dyDescent="0.35">
      <c r="B28" s="499" t="s">
        <v>58</v>
      </c>
      <c r="C28" s="424">
        <v>1015</v>
      </c>
      <c r="D28" s="424">
        <v>3748</v>
      </c>
      <c r="E28" s="424">
        <v>-397</v>
      </c>
      <c r="F28" s="380">
        <f t="shared" ref="F28:O28" si="27">F27*F46</f>
        <v>5820.6975543749995</v>
      </c>
      <c r="G28" s="380">
        <f t="shared" si="27"/>
        <v>8255.7007004127081</v>
      </c>
      <c r="H28" s="380">
        <f t="shared" si="27"/>
        <v>10626.330344249025</v>
      </c>
      <c r="I28" s="380">
        <f t="shared" si="27"/>
        <v>12693.269315963935</v>
      </c>
      <c r="J28" s="380">
        <f t="shared" si="27"/>
        <v>14641.847551874656</v>
      </c>
      <c r="K28" s="380">
        <f t="shared" si="27"/>
        <v>16370.078645036825</v>
      </c>
      <c r="L28" s="380">
        <f t="shared" si="27"/>
        <v>18096.390788419081</v>
      </c>
      <c r="M28" s="380">
        <f t="shared" si="27"/>
        <v>20277.003697058914</v>
      </c>
      <c r="N28" s="380">
        <f t="shared" si="27"/>
        <v>20630.416925887755</v>
      </c>
      <c r="O28" s="405">
        <f t="shared" si="27"/>
        <v>21660.110634523495</v>
      </c>
    </row>
    <row r="29" spans="2:15" ht="24" customHeight="1" outlineLevel="1" x14ac:dyDescent="0.2">
      <c r="B29" s="499" t="s">
        <v>60</v>
      </c>
      <c r="C29" s="317">
        <f t="shared" ref="C29:O29" si="28">C27-C28</f>
        <v>14082</v>
      </c>
      <c r="D29" s="317">
        <f t="shared" si="28"/>
        <v>6168</v>
      </c>
      <c r="E29" s="317">
        <f t="shared" si="28"/>
        <v>23126</v>
      </c>
      <c r="F29" s="317">
        <f>F27-F28</f>
        <v>29456.257320624994</v>
      </c>
      <c r="G29" s="317">
        <f t="shared" si="28"/>
        <v>41778.848999058246</v>
      </c>
      <c r="H29" s="317">
        <f t="shared" si="28"/>
        <v>53775.671742108694</v>
      </c>
      <c r="I29" s="317">
        <f t="shared" si="28"/>
        <v>64235.63562927203</v>
      </c>
      <c r="J29" s="317">
        <f t="shared" si="28"/>
        <v>74096.622459486898</v>
      </c>
      <c r="K29" s="317">
        <f t="shared" si="28"/>
        <v>82842.519203671196</v>
      </c>
      <c r="L29" s="317">
        <f t="shared" si="28"/>
        <v>91578.70489896927</v>
      </c>
      <c r="M29" s="317">
        <f t="shared" si="28"/>
        <v>102613.92780026783</v>
      </c>
      <c r="N29" s="317">
        <f t="shared" si="28"/>
        <v>104402.41292797742</v>
      </c>
      <c r="O29" s="338">
        <f t="shared" si="28"/>
        <v>109613.28715046737</v>
      </c>
    </row>
    <row r="30" spans="2:15" ht="24" customHeight="1" outlineLevel="1" x14ac:dyDescent="0.35">
      <c r="B30" s="499" t="s">
        <v>62</v>
      </c>
      <c r="C30" s="380">
        <f>-C70</f>
        <v>0</v>
      </c>
      <c r="D30" s="380">
        <f t="shared" ref="D30:E30" si="29">-D70</f>
        <v>-273</v>
      </c>
      <c r="E30" s="380">
        <f t="shared" si="29"/>
        <v>0</v>
      </c>
      <c r="F30" s="380">
        <f t="shared" ref="F30:O30" si="30">F13*F45</f>
        <v>0</v>
      </c>
      <c r="G30" s="380">
        <f t="shared" si="30"/>
        <v>0</v>
      </c>
      <c r="H30" s="380">
        <f t="shared" si="30"/>
        <v>0</v>
      </c>
      <c r="I30" s="380">
        <f t="shared" si="30"/>
        <v>0</v>
      </c>
      <c r="J30" s="380">
        <f t="shared" si="30"/>
        <v>0</v>
      </c>
      <c r="K30" s="380">
        <f t="shared" si="30"/>
        <v>0</v>
      </c>
      <c r="L30" s="380">
        <f t="shared" si="30"/>
        <v>0</v>
      </c>
      <c r="M30" s="380">
        <f t="shared" si="30"/>
        <v>0</v>
      </c>
      <c r="N30" s="380">
        <f t="shared" si="30"/>
        <v>0</v>
      </c>
      <c r="O30" s="405">
        <f t="shared" si="30"/>
        <v>0</v>
      </c>
    </row>
    <row r="31" spans="2:15" ht="24" customHeight="1" outlineLevel="1" thickBot="1" x14ac:dyDescent="0.25">
      <c r="B31" s="512" t="s">
        <v>64</v>
      </c>
      <c r="C31" s="510">
        <f t="shared" ref="C31:O31" si="31">C29+C30</f>
        <v>14082</v>
      </c>
      <c r="D31" s="510">
        <f t="shared" si="31"/>
        <v>5895</v>
      </c>
      <c r="E31" s="510">
        <f t="shared" si="31"/>
        <v>23126</v>
      </c>
      <c r="F31" s="510">
        <f t="shared" si="31"/>
        <v>29456.257320624994</v>
      </c>
      <c r="G31" s="510">
        <f t="shared" si="31"/>
        <v>41778.848999058246</v>
      </c>
      <c r="H31" s="510">
        <f t="shared" si="31"/>
        <v>53775.671742108694</v>
      </c>
      <c r="I31" s="510">
        <f t="shared" si="31"/>
        <v>64235.63562927203</v>
      </c>
      <c r="J31" s="510">
        <f t="shared" si="31"/>
        <v>74096.622459486898</v>
      </c>
      <c r="K31" s="510">
        <f t="shared" si="31"/>
        <v>82842.519203671196</v>
      </c>
      <c r="L31" s="510">
        <f t="shared" si="31"/>
        <v>91578.70489896927</v>
      </c>
      <c r="M31" s="510">
        <f t="shared" si="31"/>
        <v>102613.92780026783</v>
      </c>
      <c r="N31" s="510">
        <f t="shared" si="31"/>
        <v>104402.41292797742</v>
      </c>
      <c r="O31" s="414">
        <f t="shared" si="31"/>
        <v>109613.28715046737</v>
      </c>
    </row>
    <row r="32" spans="2:15" ht="24" customHeight="1" outlineLevel="1" thickBot="1" x14ac:dyDescent="0.25">
      <c r="B32" s="318"/>
      <c r="C32" s="317"/>
      <c r="D32" s="317"/>
      <c r="E32" s="317"/>
    </row>
    <row r="33" spans="1:15" ht="24" customHeight="1" outlineLevel="1" x14ac:dyDescent="0.2">
      <c r="B33" s="364" t="s">
        <v>67</v>
      </c>
      <c r="C33" s="365" t="str">
        <f>C$4</f>
        <v>2023A</v>
      </c>
      <c r="D33" s="365" t="str">
        <f t="shared" ref="D33:O33" si="32">D$4</f>
        <v>2024A</v>
      </c>
      <c r="E33" s="365" t="str">
        <f t="shared" si="32"/>
        <v>2025A</v>
      </c>
      <c r="F33" s="365" t="str">
        <f t="shared" si="32"/>
        <v>2026P</v>
      </c>
      <c r="G33" s="365" t="str">
        <f t="shared" si="32"/>
        <v>2027P</v>
      </c>
      <c r="H33" s="365" t="str">
        <f t="shared" si="32"/>
        <v>2028P</v>
      </c>
      <c r="I33" s="365" t="str">
        <f t="shared" si="32"/>
        <v xml:space="preserve">2029P </v>
      </c>
      <c r="J33" s="365" t="str">
        <f t="shared" si="32"/>
        <v>2030P</v>
      </c>
      <c r="K33" s="365" t="str">
        <f t="shared" si="32"/>
        <v>2031P</v>
      </c>
      <c r="L33" s="365" t="str">
        <f t="shared" si="32"/>
        <v>2032P</v>
      </c>
      <c r="M33" s="365" t="str">
        <f t="shared" si="32"/>
        <v xml:space="preserve">2033P </v>
      </c>
      <c r="N33" s="365" t="str">
        <f t="shared" si="32"/>
        <v>2034P</v>
      </c>
      <c r="O33" s="366" t="str">
        <f t="shared" si="32"/>
        <v>2035P</v>
      </c>
    </row>
    <row r="34" spans="1:15" ht="24" customHeight="1" outlineLevel="1" x14ac:dyDescent="0.2">
      <c r="B34" s="499" t="s">
        <v>68</v>
      </c>
      <c r="C34" s="500"/>
      <c r="D34" s="500">
        <f>(D5-C5)/C5</f>
        <v>0.20764102386956371</v>
      </c>
      <c r="E34" s="500">
        <f>(E5-D5)/D5</f>
        <v>0.28280892448512585</v>
      </c>
      <c r="F34" s="501">
        <v>0.5</v>
      </c>
      <c r="G34" s="501">
        <v>0.36</v>
      </c>
      <c r="H34" s="501">
        <v>0.22</v>
      </c>
      <c r="I34" s="501">
        <v>0.16</v>
      </c>
      <c r="J34" s="501">
        <v>0.12</v>
      </c>
      <c r="K34" s="501">
        <v>0.09</v>
      </c>
      <c r="L34" s="501">
        <v>0.08</v>
      </c>
      <c r="M34" s="501">
        <v>7.0000000000000007E-2</v>
      </c>
      <c r="N34" s="501">
        <v>0.05</v>
      </c>
      <c r="O34" s="502">
        <v>4.4999999999999998E-2</v>
      </c>
    </row>
    <row r="35" spans="1:15" ht="24" customHeight="1" outlineLevel="1" x14ac:dyDescent="0.2">
      <c r="B35" s="499" t="s">
        <v>71</v>
      </c>
      <c r="C35" s="369"/>
      <c r="D35" s="500">
        <f>(D9-C9)/C9</f>
        <v>1.4183406113537118</v>
      </c>
      <c r="E35" s="500">
        <f>(E9-D9)/D9</f>
        <v>0.14602142771156856</v>
      </c>
      <c r="F35" s="501">
        <v>0.12</v>
      </c>
      <c r="G35" s="501">
        <v>0.08</v>
      </c>
      <c r="H35" s="501">
        <v>0.06</v>
      </c>
      <c r="I35" s="501">
        <v>0.05</v>
      </c>
      <c r="J35" s="501">
        <v>0.05</v>
      </c>
      <c r="K35" s="501">
        <v>0.04</v>
      </c>
      <c r="L35" s="501">
        <v>0.04</v>
      </c>
      <c r="M35" s="501">
        <v>0.03</v>
      </c>
      <c r="N35" s="501">
        <v>0.03</v>
      </c>
      <c r="O35" s="502">
        <v>0.03</v>
      </c>
    </row>
    <row r="36" spans="1:15" ht="24" customHeight="1" x14ac:dyDescent="0.2">
      <c r="B36" s="337" t="s">
        <v>74</v>
      </c>
      <c r="C36" s="500">
        <f>C7/C5</f>
        <v>0.70454937994403954</v>
      </c>
      <c r="D36" s="500">
        <f>D7/D5</f>
        <v>0.72294050343249427</v>
      </c>
      <c r="E36" s="500">
        <f>E7/E5</f>
        <v>0.7347202711441122</v>
      </c>
      <c r="F36" s="503">
        <v>0.73</v>
      </c>
      <c r="G36" s="503">
        <v>0.73</v>
      </c>
      <c r="H36" s="503">
        <v>0.73</v>
      </c>
      <c r="I36" s="503">
        <v>0.73</v>
      </c>
      <c r="J36" s="503">
        <v>0.72799999999999998</v>
      </c>
      <c r="K36" s="503">
        <v>0.72799999999999998</v>
      </c>
      <c r="L36" s="503">
        <v>0.72799999999999998</v>
      </c>
      <c r="M36" s="503">
        <v>0.72699999999999998</v>
      </c>
      <c r="N36" s="503">
        <v>0.72599999999999998</v>
      </c>
      <c r="O36" s="504">
        <v>0.72499999999999998</v>
      </c>
    </row>
    <row r="37" spans="1:15" ht="24" customHeight="1" outlineLevel="1" x14ac:dyDescent="0.2">
      <c r="A37" s="321"/>
      <c r="B37" s="337" t="s">
        <v>76</v>
      </c>
      <c r="C37" s="500">
        <f>C11/C9</f>
        <v>0.92590975254730712</v>
      </c>
      <c r="D37" s="500">
        <f>D11/D9</f>
        <v>0.85325628987600821</v>
      </c>
      <c r="E37" s="500">
        <f>E11/E9</f>
        <v>0.90835084033613445</v>
      </c>
      <c r="F37" s="501">
        <v>0.89500000000000002</v>
      </c>
      <c r="G37" s="501">
        <v>0.89</v>
      </c>
      <c r="H37" s="501">
        <v>0.89</v>
      </c>
      <c r="I37" s="501">
        <v>0.89</v>
      </c>
      <c r="J37" s="501">
        <v>0.89</v>
      </c>
      <c r="K37" s="501">
        <v>0.89</v>
      </c>
      <c r="L37" s="501">
        <v>0.89</v>
      </c>
      <c r="M37" s="501">
        <v>0.89</v>
      </c>
      <c r="N37" s="501">
        <v>0.89</v>
      </c>
      <c r="O37" s="502">
        <v>0.89</v>
      </c>
    </row>
    <row r="38" spans="1:15" ht="24" customHeight="1" outlineLevel="1" x14ac:dyDescent="0.2">
      <c r="B38" s="337" t="s">
        <v>78</v>
      </c>
      <c r="C38" s="500">
        <f>C16/C13</f>
        <v>6.0610290627879058E-2</v>
      </c>
      <c r="D38" s="500">
        <f>D16/D13</f>
        <v>0.10993911660914414</v>
      </c>
      <c r="E38" s="500">
        <f>E16/E13</f>
        <v>0.11845915444456619</v>
      </c>
      <c r="F38" s="501">
        <v>0.1</v>
      </c>
      <c r="G38" s="501">
        <v>9.5000000000000001E-2</v>
      </c>
      <c r="H38" s="501">
        <v>0.09</v>
      </c>
      <c r="I38" s="501">
        <v>0.09</v>
      </c>
      <c r="J38" s="501">
        <v>0.09</v>
      </c>
      <c r="K38" s="501">
        <v>8.5000000000000006E-2</v>
      </c>
      <c r="L38" s="501">
        <v>8.5000000000000006E-2</v>
      </c>
      <c r="M38" s="501">
        <v>0.08</v>
      </c>
      <c r="N38" s="501">
        <v>0.08</v>
      </c>
      <c r="O38" s="502">
        <v>0.08</v>
      </c>
    </row>
    <row r="39" spans="1:15" ht="24" customHeight="1" outlineLevel="1" x14ac:dyDescent="0.2">
      <c r="B39" s="337" t="s">
        <v>80</v>
      </c>
      <c r="C39" s="500">
        <f>C18/C13</f>
        <v>9.0398950277785536E-2</v>
      </c>
      <c r="D39" s="500">
        <f>D18/D13</f>
        <v>0.10193120564625587</v>
      </c>
      <c r="E39" s="500">
        <f>E18/E13</f>
        <v>8.4258143284236225E-2</v>
      </c>
      <c r="F39" s="501">
        <v>9.5000000000000001E-2</v>
      </c>
      <c r="G39" s="501">
        <v>0.10100000000000001</v>
      </c>
      <c r="H39" s="501">
        <v>9.6000000000000002E-2</v>
      </c>
      <c r="I39" s="501">
        <v>9.4E-2</v>
      </c>
      <c r="J39" s="501">
        <v>0.09</v>
      </c>
      <c r="K39" s="501">
        <v>8.8999999999999996E-2</v>
      </c>
      <c r="L39" s="501">
        <v>8.5999999999999993E-2</v>
      </c>
      <c r="M39" s="501">
        <v>6.6000000000000003E-2</v>
      </c>
      <c r="N39" s="501">
        <v>8.5000000000000006E-2</v>
      </c>
      <c r="O39" s="502">
        <v>8.5000000000000006E-2</v>
      </c>
    </row>
    <row r="40" spans="1:15" ht="24" customHeight="1" outlineLevel="1" x14ac:dyDescent="0.2">
      <c r="B40" s="337" t="s">
        <v>81</v>
      </c>
      <c r="C40" s="317"/>
      <c r="D40" s="317"/>
      <c r="E40" s="317"/>
      <c r="F40" s="317">
        <f t="shared" ref="F40:O40" si="33">F39*F13</f>
        <v>8416.5535</v>
      </c>
      <c r="G40" s="317">
        <f t="shared" si="33"/>
        <v>11566.385064</v>
      </c>
      <c r="H40" s="317">
        <f t="shared" si="33"/>
        <v>13058.673085439999</v>
      </c>
      <c r="I40" s="317">
        <f t="shared" si="33"/>
        <v>14580.049574591998</v>
      </c>
      <c r="J40" s="317">
        <f t="shared" si="33"/>
        <v>15473.2870107648</v>
      </c>
      <c r="K40" s="317">
        <f t="shared" si="33"/>
        <v>16558.712724031026</v>
      </c>
      <c r="L40" s="317">
        <f t="shared" si="33"/>
        <v>17184.307339356401</v>
      </c>
      <c r="M40" s="317">
        <f t="shared" si="33"/>
        <v>14034.260246128761</v>
      </c>
      <c r="N40" s="317">
        <f t="shared" si="33"/>
        <v>18927.173695698253</v>
      </c>
      <c r="O40" s="338">
        <f t="shared" si="33"/>
        <v>19739.519342204279</v>
      </c>
    </row>
    <row r="41" spans="1:15" ht="24" customHeight="1" outlineLevel="1" x14ac:dyDescent="0.35">
      <c r="B41" s="337" t="s">
        <v>82</v>
      </c>
      <c r="C41" s="317"/>
      <c r="D41" s="317"/>
      <c r="E41" s="317"/>
      <c r="F41" s="380">
        <f t="shared" ref="F41:O41" si="34">F167*F40</f>
        <v>420.827675</v>
      </c>
      <c r="G41" s="380">
        <f>G167*G40</f>
        <v>578.31925320000005</v>
      </c>
      <c r="H41" s="380">
        <f t="shared" si="34"/>
        <v>652.93365427200001</v>
      </c>
      <c r="I41" s="380">
        <f t="shared" si="34"/>
        <v>729.00247872959994</v>
      </c>
      <c r="J41" s="380">
        <f t="shared" si="34"/>
        <v>773.66435053824</v>
      </c>
      <c r="K41" s="380">
        <f t="shared" si="34"/>
        <v>827.93563620155135</v>
      </c>
      <c r="L41" s="380">
        <f t="shared" si="34"/>
        <v>859.21536696782005</v>
      </c>
      <c r="M41" s="380">
        <f t="shared" si="34"/>
        <v>701.71301230643803</v>
      </c>
      <c r="N41" s="380">
        <f t="shared" si="34"/>
        <v>946.35868478491273</v>
      </c>
      <c r="O41" s="405">
        <f t="shared" si="34"/>
        <v>986.97596711021401</v>
      </c>
    </row>
    <row r="42" spans="1:15" ht="24" customHeight="1" outlineLevel="1" x14ac:dyDescent="0.2">
      <c r="B42" s="337" t="s">
        <v>83</v>
      </c>
      <c r="C42" s="317"/>
      <c r="D42" s="317"/>
      <c r="E42" s="317"/>
      <c r="F42" s="317">
        <f>F40-F41</f>
        <v>7995.7258249999995</v>
      </c>
      <c r="G42" s="317">
        <f t="shared" ref="G42:O42" si="35">G40-G41</f>
        <v>10988.065810800001</v>
      </c>
      <c r="H42" s="317">
        <f t="shared" si="35"/>
        <v>12405.739431168</v>
      </c>
      <c r="I42" s="317">
        <f t="shared" si="35"/>
        <v>13851.047095862397</v>
      </c>
      <c r="J42" s="317">
        <f t="shared" si="35"/>
        <v>14699.62266022656</v>
      </c>
      <c r="K42" s="317">
        <f t="shared" si="35"/>
        <v>15730.777087829474</v>
      </c>
      <c r="L42" s="317">
        <f t="shared" si="35"/>
        <v>16325.091972388582</v>
      </c>
      <c r="M42" s="317">
        <f t="shared" si="35"/>
        <v>13332.547233822323</v>
      </c>
      <c r="N42" s="317">
        <f t="shared" si="35"/>
        <v>17980.815010913342</v>
      </c>
      <c r="O42" s="338">
        <f t="shared" si="35"/>
        <v>18752.543375094065</v>
      </c>
    </row>
    <row r="43" spans="1:15" ht="24" customHeight="1" outlineLevel="1" x14ac:dyDescent="0.2">
      <c r="B43" s="337" t="s">
        <v>84</v>
      </c>
      <c r="C43" s="500">
        <f>C19/C5</f>
        <v>3.3403571798680441E-2</v>
      </c>
      <c r="D43" s="500">
        <f>D19/D5</f>
        <v>8.7986270022883298E-2</v>
      </c>
      <c r="E43" s="500">
        <f>E19/E5</f>
        <v>4.8743505697148082E-2</v>
      </c>
      <c r="F43" s="505">
        <v>4.8000000000000001E-2</v>
      </c>
      <c r="G43" s="505">
        <v>4.5999999999999999E-2</v>
      </c>
      <c r="H43" s="505">
        <v>4.3999999999999997E-2</v>
      </c>
      <c r="I43" s="505">
        <v>4.2000000000000003E-2</v>
      </c>
      <c r="J43" s="505">
        <v>0.04</v>
      </c>
      <c r="K43" s="505">
        <v>0.04</v>
      </c>
      <c r="L43" s="505">
        <v>0.04</v>
      </c>
      <c r="M43" s="505">
        <v>4.2500000000000003E-2</v>
      </c>
      <c r="N43" s="505">
        <v>4.4999999999999998E-2</v>
      </c>
      <c r="O43" s="506">
        <v>4.4999999999999998E-2</v>
      </c>
    </row>
    <row r="44" spans="1:15" ht="24" customHeight="1" outlineLevel="1" x14ac:dyDescent="0.2">
      <c r="B44" s="337" t="s">
        <v>86</v>
      </c>
      <c r="C44" s="500">
        <f>C26/C13</f>
        <v>-7.5658170244842123E-3</v>
      </c>
      <c r="D44" s="500">
        <f>D26/D13</f>
        <v>-3.5715670686780158E-2</v>
      </c>
      <c r="E44" s="500">
        <f>E26/E13</f>
        <v>-8.7498239078372744E-3</v>
      </c>
      <c r="F44" s="503">
        <v>0</v>
      </c>
      <c r="G44" s="503">
        <v>0</v>
      </c>
      <c r="H44" s="503">
        <v>0</v>
      </c>
      <c r="I44" s="503">
        <v>0</v>
      </c>
      <c r="J44" s="503">
        <v>0</v>
      </c>
      <c r="K44" s="503">
        <v>0</v>
      </c>
      <c r="L44" s="503">
        <v>0</v>
      </c>
      <c r="M44" s="503">
        <v>0</v>
      </c>
      <c r="N44" s="503">
        <v>0</v>
      </c>
      <c r="O44" s="504">
        <v>0</v>
      </c>
    </row>
    <row r="45" spans="1:15" ht="24" customHeight="1" outlineLevel="1" x14ac:dyDescent="0.2">
      <c r="B45" s="499" t="s">
        <v>87</v>
      </c>
      <c r="C45" s="500">
        <f>C30/C13</f>
        <v>0</v>
      </c>
      <c r="D45" s="500">
        <f>D30/D13</f>
        <v>-5.2933648737736065E-3</v>
      </c>
      <c r="E45" s="500">
        <f>E30/E13</f>
        <v>0</v>
      </c>
      <c r="F45" s="503">
        <v>0</v>
      </c>
      <c r="G45" s="503">
        <v>0</v>
      </c>
      <c r="H45" s="503">
        <v>0</v>
      </c>
      <c r="I45" s="503">
        <v>0</v>
      </c>
      <c r="J45" s="503">
        <v>0</v>
      </c>
      <c r="K45" s="503">
        <v>0</v>
      </c>
      <c r="L45" s="503">
        <v>0</v>
      </c>
      <c r="M45" s="503">
        <v>0</v>
      </c>
      <c r="N45" s="503">
        <v>0</v>
      </c>
      <c r="O45" s="504">
        <v>0</v>
      </c>
    </row>
    <row r="46" spans="1:15" ht="24" customHeight="1" outlineLevel="1" thickBot="1" x14ac:dyDescent="0.25">
      <c r="B46" s="340" t="s">
        <v>89</v>
      </c>
      <c r="C46" s="507">
        <f>C28/C27</f>
        <v>6.7231900377558454E-2</v>
      </c>
      <c r="D46" s="507">
        <f>D28/D27</f>
        <v>0.37797498991528844</v>
      </c>
      <c r="E46" s="507">
        <f>E28/E27</f>
        <v>-1.7466672532887501E-2</v>
      </c>
      <c r="F46" s="508">
        <v>0.16500000000000001</v>
      </c>
      <c r="G46" s="508">
        <v>0.16500000000000001</v>
      </c>
      <c r="H46" s="508">
        <v>0.16500000000000001</v>
      </c>
      <c r="I46" s="508">
        <v>0.16500000000000001</v>
      </c>
      <c r="J46" s="508">
        <v>0.16500000000000001</v>
      </c>
      <c r="K46" s="508">
        <v>0.16500000000000001</v>
      </c>
      <c r="L46" s="508">
        <v>0.16500000000000001</v>
      </c>
      <c r="M46" s="508">
        <v>0.16500000000000001</v>
      </c>
      <c r="N46" s="508">
        <v>0.16500000000000001</v>
      </c>
      <c r="O46" s="509">
        <v>0.16500000000000001</v>
      </c>
    </row>
    <row r="47" spans="1:15" ht="24" customHeight="1" outlineLevel="1" x14ac:dyDescent="0.2">
      <c r="C47" s="319"/>
      <c r="D47" s="319"/>
      <c r="E47" s="319"/>
      <c r="F47" s="320"/>
      <c r="G47" s="320"/>
      <c r="H47" s="320"/>
      <c r="I47" s="320"/>
      <c r="J47" s="320"/>
      <c r="K47" s="320"/>
      <c r="L47" s="320"/>
      <c r="M47" s="320"/>
      <c r="N47" s="320"/>
      <c r="O47" s="320"/>
    </row>
    <row r="48" spans="1:15" ht="24" customHeight="1" outlineLevel="1" x14ac:dyDescent="0.2">
      <c r="B48" s="542" t="s">
        <v>93</v>
      </c>
      <c r="C48" s="489" t="str">
        <f t="shared" ref="C48:O48" si="36">C33</f>
        <v>2023A</v>
      </c>
      <c r="D48" s="489" t="str">
        <f t="shared" si="36"/>
        <v>2024A</v>
      </c>
      <c r="E48" s="490" t="str">
        <f t="shared" si="36"/>
        <v>2025A</v>
      </c>
      <c r="F48" s="322" t="str">
        <f t="shared" si="36"/>
        <v>2026P</v>
      </c>
      <c r="G48" s="322" t="str">
        <f t="shared" si="36"/>
        <v>2027P</v>
      </c>
      <c r="H48" s="322" t="str">
        <f t="shared" si="36"/>
        <v>2028P</v>
      </c>
      <c r="I48" s="322" t="str">
        <f t="shared" si="36"/>
        <v xml:space="preserve">2029P </v>
      </c>
      <c r="J48" s="322" t="str">
        <f t="shared" si="36"/>
        <v>2030P</v>
      </c>
      <c r="K48" s="322" t="str">
        <f t="shared" si="36"/>
        <v>2031P</v>
      </c>
      <c r="L48" s="322" t="str">
        <f t="shared" si="36"/>
        <v>2032P</v>
      </c>
      <c r="M48" s="322" t="str">
        <f t="shared" si="36"/>
        <v xml:space="preserve">2033P </v>
      </c>
      <c r="N48" s="322" t="str">
        <f t="shared" si="36"/>
        <v>2034P</v>
      </c>
      <c r="O48" s="322" t="str">
        <f t="shared" si="36"/>
        <v>2035P</v>
      </c>
    </row>
    <row r="49" spans="2:15" ht="24" customHeight="1" outlineLevel="1" x14ac:dyDescent="0.2">
      <c r="B49" s="454" t="s">
        <v>95</v>
      </c>
      <c r="C49" s="419">
        <v>8641</v>
      </c>
      <c r="D49" s="419">
        <v>9805</v>
      </c>
      <c r="E49" s="491">
        <v>12115</v>
      </c>
      <c r="F49" s="317"/>
      <c r="G49" s="317"/>
      <c r="H49" s="317"/>
      <c r="I49" s="317"/>
      <c r="J49" s="317"/>
      <c r="K49" s="317"/>
      <c r="L49" s="317"/>
      <c r="M49" s="317"/>
      <c r="N49" s="317"/>
      <c r="O49" s="317"/>
    </row>
    <row r="50" spans="2:15" ht="24" customHeight="1" outlineLevel="1" x14ac:dyDescent="0.35">
      <c r="B50" s="454" t="s">
        <v>97</v>
      </c>
      <c r="C50" s="424">
        <v>-88</v>
      </c>
      <c r="D50" s="424">
        <v>-119</v>
      </c>
      <c r="E50" s="492">
        <v>-218</v>
      </c>
      <c r="F50" s="317"/>
      <c r="G50" s="317"/>
      <c r="H50" s="317"/>
      <c r="I50" s="317"/>
      <c r="J50" s="317"/>
      <c r="K50" s="317"/>
      <c r="L50" s="317"/>
      <c r="M50" s="317"/>
      <c r="N50" s="317"/>
      <c r="O50" s="317"/>
    </row>
    <row r="51" spans="2:15" ht="24" customHeight="1" x14ac:dyDescent="0.35">
      <c r="B51" s="454" t="s">
        <v>99</v>
      </c>
      <c r="C51" s="493">
        <f>SUM(C49:C50)</f>
        <v>8553</v>
      </c>
      <c r="D51" s="493">
        <f t="shared" ref="D51:E51" si="37">SUM(D49:D50)</f>
        <v>9686</v>
      </c>
      <c r="E51" s="494">
        <f t="shared" si="37"/>
        <v>11897</v>
      </c>
      <c r="F51" s="317"/>
      <c r="G51" s="317"/>
      <c r="H51" s="317"/>
      <c r="I51" s="317"/>
      <c r="J51" s="317"/>
      <c r="K51" s="317"/>
      <c r="L51" s="317"/>
      <c r="M51" s="317"/>
      <c r="N51" s="317"/>
      <c r="O51" s="317"/>
    </row>
    <row r="52" spans="2:15" ht="24" customHeight="1" outlineLevel="1" x14ac:dyDescent="0.2">
      <c r="B52" s="454" t="s">
        <v>100</v>
      </c>
      <c r="C52" s="419">
        <v>631</v>
      </c>
      <c r="D52" s="419">
        <v>2983</v>
      </c>
      <c r="E52" s="491">
        <v>2371</v>
      </c>
      <c r="F52" s="317"/>
      <c r="G52" s="317"/>
      <c r="H52" s="317"/>
      <c r="I52" s="317"/>
      <c r="J52" s="317"/>
      <c r="K52" s="317"/>
      <c r="L52" s="317"/>
      <c r="M52" s="317"/>
      <c r="N52" s="317"/>
      <c r="O52" s="317"/>
    </row>
    <row r="53" spans="2:15" ht="24" customHeight="1" outlineLevel="1" x14ac:dyDescent="0.35">
      <c r="B53" s="454" t="s">
        <v>97</v>
      </c>
      <c r="C53" s="424">
        <v>-122</v>
      </c>
      <c r="D53" s="424">
        <v>-545</v>
      </c>
      <c r="E53" s="492">
        <v>-626</v>
      </c>
      <c r="F53" s="317"/>
      <c r="G53" s="317"/>
      <c r="H53" s="317"/>
      <c r="I53" s="317"/>
      <c r="J53" s="317"/>
      <c r="K53" s="317"/>
      <c r="L53" s="317"/>
      <c r="M53" s="317"/>
      <c r="N53" s="317"/>
      <c r="O53" s="317"/>
    </row>
    <row r="54" spans="2:15" ht="24" customHeight="1" outlineLevel="1" x14ac:dyDescent="0.35">
      <c r="B54" s="454" t="s">
        <v>104</v>
      </c>
      <c r="C54" s="493">
        <f>C52+C53</f>
        <v>509</v>
      </c>
      <c r="D54" s="493">
        <f t="shared" ref="D54:E54" si="38">D52+D53</f>
        <v>2438</v>
      </c>
      <c r="E54" s="494">
        <f t="shared" si="38"/>
        <v>1745</v>
      </c>
      <c r="F54" s="317"/>
      <c r="G54" s="317"/>
      <c r="H54" s="317"/>
      <c r="I54" s="317"/>
      <c r="J54" s="317"/>
      <c r="K54" s="317"/>
      <c r="L54" s="317"/>
      <c r="M54" s="317"/>
      <c r="N54" s="317"/>
      <c r="O54" s="317"/>
    </row>
    <row r="55" spans="2:15" ht="24" customHeight="1" outlineLevel="1" x14ac:dyDescent="0.2">
      <c r="B55" s="454" t="s">
        <v>106</v>
      </c>
      <c r="C55" s="419">
        <v>5253</v>
      </c>
      <c r="D55" s="419">
        <v>9310</v>
      </c>
      <c r="E55" s="491">
        <v>10977</v>
      </c>
      <c r="F55" s="317"/>
      <c r="G55" s="317"/>
      <c r="H55" s="317"/>
      <c r="I55" s="317"/>
      <c r="J55" s="317"/>
      <c r="K55" s="317"/>
      <c r="L55" s="317"/>
      <c r="M55" s="317"/>
      <c r="N55" s="317"/>
      <c r="O55" s="317"/>
    </row>
    <row r="56" spans="2:15" ht="24" customHeight="1" outlineLevel="1" x14ac:dyDescent="0.2">
      <c r="B56" s="454" t="s">
        <v>97</v>
      </c>
      <c r="C56" s="419">
        <v>-1513</v>
      </c>
      <c r="D56" s="419">
        <v>-3460</v>
      </c>
      <c r="E56" s="491">
        <v>-5020</v>
      </c>
      <c r="F56" s="317"/>
      <c r="G56" s="317"/>
      <c r="H56" s="317"/>
      <c r="I56" s="317"/>
      <c r="J56" s="317"/>
      <c r="K56" s="317"/>
      <c r="L56" s="317"/>
      <c r="M56" s="317"/>
      <c r="N56" s="317"/>
      <c r="O56" s="317"/>
    </row>
    <row r="57" spans="2:15" ht="24" customHeight="1" outlineLevel="1" x14ac:dyDescent="0.35">
      <c r="B57" s="454" t="s">
        <v>107</v>
      </c>
      <c r="C57" s="424">
        <v>-502</v>
      </c>
      <c r="D57" s="424">
        <v>-593</v>
      </c>
      <c r="E57" s="492">
        <v>-574</v>
      </c>
      <c r="F57" s="317"/>
      <c r="G57" s="317"/>
      <c r="H57" s="317"/>
      <c r="I57" s="317"/>
      <c r="J57" s="317"/>
      <c r="K57" s="317"/>
      <c r="L57" s="317"/>
      <c r="M57" s="317"/>
      <c r="N57" s="317"/>
      <c r="O57" s="317"/>
    </row>
    <row r="58" spans="2:15" ht="24" customHeight="1" outlineLevel="1" x14ac:dyDescent="0.35">
      <c r="B58" s="454" t="s">
        <v>108</v>
      </c>
      <c r="C58" s="493">
        <f>SUM(C55:C57)</f>
        <v>3238</v>
      </c>
      <c r="D58" s="493">
        <f t="shared" ref="D58:E58" si="39">SUM(D55:D57)</f>
        <v>5257</v>
      </c>
      <c r="E58" s="494">
        <f t="shared" si="39"/>
        <v>5383</v>
      </c>
      <c r="F58" s="317"/>
      <c r="G58" s="317"/>
      <c r="H58" s="317"/>
      <c r="I58" s="317"/>
      <c r="J58" s="317"/>
      <c r="K58" s="317"/>
      <c r="L58" s="317"/>
      <c r="M58" s="317"/>
      <c r="N58" s="317"/>
      <c r="O58" s="317"/>
    </row>
    <row r="59" spans="2:15" ht="24" customHeight="1" outlineLevel="1" x14ac:dyDescent="0.2">
      <c r="B59" s="454" t="s">
        <v>109</v>
      </c>
      <c r="C59" s="419">
        <v>1592</v>
      </c>
      <c r="D59" s="419">
        <v>4959</v>
      </c>
      <c r="E59" s="491">
        <v>4211</v>
      </c>
      <c r="F59" s="317"/>
      <c r="G59" s="317"/>
      <c r="H59" s="317"/>
      <c r="I59" s="317"/>
      <c r="J59" s="317"/>
      <c r="K59" s="317"/>
      <c r="L59" s="317"/>
      <c r="M59" s="317"/>
      <c r="N59" s="317"/>
      <c r="O59" s="317"/>
    </row>
    <row r="60" spans="2:15" ht="24" customHeight="1" outlineLevel="1" x14ac:dyDescent="0.2">
      <c r="B60" s="454" t="s">
        <v>97</v>
      </c>
      <c r="C60" s="419">
        <v>-448</v>
      </c>
      <c r="D60" s="419">
        <v>-1546</v>
      </c>
      <c r="E60" s="491">
        <v>-1704</v>
      </c>
      <c r="F60" s="317"/>
      <c r="G60" s="317"/>
      <c r="H60" s="317"/>
      <c r="I60" s="317"/>
      <c r="J60" s="317"/>
      <c r="K60" s="317"/>
      <c r="L60" s="317"/>
      <c r="M60" s="317"/>
      <c r="N60" s="317"/>
      <c r="O60" s="317"/>
    </row>
    <row r="61" spans="2:15" ht="24" customHeight="1" outlineLevel="1" x14ac:dyDescent="0.2">
      <c r="B61" s="454" t="s">
        <v>110</v>
      </c>
      <c r="C61" s="419">
        <v>-91</v>
      </c>
      <c r="D61" s="419">
        <v>-187</v>
      </c>
      <c r="E61" s="491">
        <v>-182</v>
      </c>
      <c r="F61" s="317"/>
      <c r="G61" s="317"/>
      <c r="H61" s="317"/>
      <c r="I61" s="317"/>
      <c r="J61" s="317"/>
      <c r="K61" s="317"/>
      <c r="L61" s="317"/>
      <c r="M61" s="317"/>
      <c r="N61" s="317"/>
      <c r="O61" s="317"/>
    </row>
    <row r="62" spans="2:15" ht="24" customHeight="1" outlineLevel="1" x14ac:dyDescent="0.35">
      <c r="B62" s="454" t="s">
        <v>111</v>
      </c>
      <c r="C62" s="424">
        <v>-86</v>
      </c>
      <c r="D62" s="424">
        <v>-150</v>
      </c>
      <c r="E62" s="492">
        <v>-139</v>
      </c>
      <c r="F62" s="317"/>
      <c r="G62" s="317"/>
      <c r="H62" s="317"/>
      <c r="I62" s="317"/>
      <c r="J62" s="317"/>
      <c r="K62" s="317"/>
      <c r="L62" s="317"/>
      <c r="M62" s="317"/>
      <c r="N62" s="317"/>
      <c r="O62" s="317"/>
    </row>
    <row r="63" spans="2:15" ht="24" customHeight="1" outlineLevel="1" x14ac:dyDescent="0.35">
      <c r="B63" s="454" t="s">
        <v>112</v>
      </c>
      <c r="C63" s="493">
        <f>SUM(C59:C62)</f>
        <v>967</v>
      </c>
      <c r="D63" s="493">
        <f t="shared" ref="D63:E63" si="40">SUM(D59:D62)</f>
        <v>3076</v>
      </c>
      <c r="E63" s="494">
        <f t="shared" si="40"/>
        <v>2186</v>
      </c>
      <c r="F63" s="317"/>
      <c r="G63" s="317"/>
      <c r="H63" s="317"/>
      <c r="I63" s="317"/>
      <c r="J63" s="317"/>
      <c r="K63" s="317"/>
      <c r="L63" s="317"/>
      <c r="M63" s="317"/>
      <c r="N63" s="317"/>
      <c r="O63" s="317"/>
    </row>
    <row r="64" spans="2:15" ht="24" customHeight="1" outlineLevel="1" x14ac:dyDescent="0.2">
      <c r="B64" s="454" t="s">
        <v>113</v>
      </c>
      <c r="C64" s="419">
        <v>512</v>
      </c>
      <c r="D64" s="419">
        <v>406</v>
      </c>
      <c r="E64" s="491">
        <v>455</v>
      </c>
      <c r="F64" s="317"/>
      <c r="G64" s="317"/>
      <c r="H64" s="317"/>
      <c r="I64" s="317"/>
      <c r="J64" s="317"/>
      <c r="K64" s="317"/>
      <c r="L64" s="317"/>
      <c r="M64" s="317"/>
      <c r="N64" s="317"/>
      <c r="O64" s="317"/>
    </row>
    <row r="65" spans="2:20" ht="24" customHeight="1" outlineLevel="1" x14ac:dyDescent="0.2">
      <c r="B65" s="454" t="s">
        <v>114</v>
      </c>
      <c r="C65" s="419">
        <v>-535</v>
      </c>
      <c r="D65" s="419">
        <v>-461</v>
      </c>
      <c r="E65" s="491">
        <v>-347</v>
      </c>
      <c r="F65" s="317"/>
      <c r="G65" s="317"/>
      <c r="H65" s="317"/>
      <c r="I65" s="317"/>
      <c r="J65" s="317"/>
      <c r="K65" s="317"/>
      <c r="L65" s="317"/>
      <c r="M65" s="317"/>
      <c r="N65" s="317"/>
      <c r="O65" s="317"/>
    </row>
    <row r="66" spans="2:20" ht="24" customHeight="1" outlineLevel="1" x14ac:dyDescent="0.35">
      <c r="B66" s="454" t="s">
        <v>115</v>
      </c>
      <c r="C66" s="424">
        <f>-4-244</f>
        <v>-248</v>
      </c>
      <c r="D66" s="424">
        <f>-254-1533</f>
        <v>-1787</v>
      </c>
      <c r="E66" s="492">
        <f>-76-591</f>
        <v>-667</v>
      </c>
      <c r="F66" s="317"/>
      <c r="G66" s="317"/>
      <c r="H66" s="317"/>
      <c r="I66" s="317"/>
      <c r="J66" s="317"/>
      <c r="K66" s="317"/>
      <c r="L66" s="317"/>
      <c r="M66" s="317"/>
      <c r="N66" s="317"/>
      <c r="O66" s="317"/>
    </row>
    <row r="67" spans="2:20" ht="24" customHeight="1" outlineLevel="1" x14ac:dyDescent="0.35">
      <c r="B67" s="454" t="s">
        <v>116</v>
      </c>
      <c r="C67" s="493">
        <f>SUM(C64:C66)</f>
        <v>-271</v>
      </c>
      <c r="D67" s="493">
        <f t="shared" ref="D67:E67" si="41">SUM(D64:D66)</f>
        <v>-1842</v>
      </c>
      <c r="E67" s="494">
        <f t="shared" si="41"/>
        <v>-559</v>
      </c>
      <c r="F67" s="317"/>
      <c r="G67" s="317"/>
      <c r="H67" s="317"/>
      <c r="I67" s="317"/>
      <c r="J67" s="317"/>
      <c r="K67" s="317"/>
      <c r="L67" s="317"/>
      <c r="M67" s="317"/>
      <c r="N67" s="317"/>
      <c r="O67" s="317"/>
    </row>
    <row r="68" spans="2:20" ht="24" customHeight="1" outlineLevel="1" x14ac:dyDescent="0.2">
      <c r="B68" s="495" t="s">
        <v>117</v>
      </c>
      <c r="C68" s="419">
        <v>0</v>
      </c>
      <c r="D68" s="419">
        <v>273</v>
      </c>
      <c r="E68" s="491">
        <v>0</v>
      </c>
      <c r="F68" s="317"/>
      <c r="G68" s="317"/>
      <c r="H68" s="317"/>
      <c r="I68" s="317"/>
      <c r="J68" s="317"/>
      <c r="K68" s="317"/>
      <c r="L68" s="317"/>
      <c r="M68" s="317"/>
      <c r="N68" s="317"/>
      <c r="O68" s="317"/>
    </row>
    <row r="69" spans="2:20" ht="24" customHeight="1" outlineLevel="1" x14ac:dyDescent="0.35">
      <c r="B69" s="454" t="s">
        <v>118</v>
      </c>
      <c r="C69" s="424">
        <v>0</v>
      </c>
      <c r="D69" s="424">
        <v>-71</v>
      </c>
      <c r="E69" s="492">
        <v>0</v>
      </c>
      <c r="F69" s="317"/>
      <c r="G69" s="317"/>
      <c r="H69" s="317"/>
      <c r="I69" s="317"/>
      <c r="J69" s="317"/>
      <c r="K69" s="317"/>
      <c r="L69" s="317"/>
      <c r="M69" s="317"/>
      <c r="N69" s="317"/>
      <c r="O69" s="317"/>
    </row>
    <row r="70" spans="2:20" ht="24" customHeight="1" outlineLevel="1" x14ac:dyDescent="0.35">
      <c r="B70" s="454" t="s">
        <v>119</v>
      </c>
      <c r="C70" s="493">
        <f>SUM(C68:C69)</f>
        <v>0</v>
      </c>
      <c r="D70" s="493">
        <f>D68</f>
        <v>273</v>
      </c>
      <c r="E70" s="494">
        <f t="shared" ref="E70" si="42">SUM(E68:E69)</f>
        <v>0</v>
      </c>
      <c r="F70" s="317"/>
      <c r="G70" s="317"/>
      <c r="H70" s="317"/>
      <c r="I70" s="317"/>
      <c r="J70" s="317"/>
      <c r="K70" s="317"/>
      <c r="L70" s="317"/>
      <c r="M70" s="317"/>
      <c r="N70" s="317"/>
      <c r="O70" s="317"/>
    </row>
    <row r="71" spans="2:20" ht="24" customHeight="1" outlineLevel="1" x14ac:dyDescent="0.35">
      <c r="B71" s="454" t="s">
        <v>120</v>
      </c>
      <c r="C71" s="493">
        <f>-(C50+C53+C56+C60+C69)</f>
        <v>2171</v>
      </c>
      <c r="D71" s="493">
        <f>-(D50+D53+D56+D60)</f>
        <v>5670</v>
      </c>
      <c r="E71" s="494">
        <f t="shared" ref="E71" si="43">-(E50+E53+E56+E60+E69)</f>
        <v>7568</v>
      </c>
      <c r="F71" s="317"/>
      <c r="G71" s="317"/>
      <c r="H71" s="317"/>
      <c r="I71" s="317"/>
      <c r="J71" s="317"/>
      <c r="K71" s="317"/>
      <c r="L71" s="317"/>
      <c r="M71" s="317"/>
      <c r="N71" s="317"/>
      <c r="O71" s="317"/>
    </row>
    <row r="72" spans="2:20" ht="24" customHeight="1" outlineLevel="1" x14ac:dyDescent="0.2">
      <c r="B72" s="454" t="s">
        <v>121</v>
      </c>
      <c r="C72" s="419">
        <v>1853</v>
      </c>
      <c r="D72" s="419">
        <v>6023</v>
      </c>
      <c r="E72" s="491">
        <v>6031</v>
      </c>
      <c r="F72" s="317"/>
      <c r="G72" s="317"/>
      <c r="H72" s="317"/>
      <c r="I72" s="317"/>
      <c r="J72" s="317"/>
      <c r="K72" s="317"/>
      <c r="L72" s="317"/>
      <c r="M72" s="317"/>
      <c r="N72" s="317"/>
      <c r="O72" s="317"/>
    </row>
    <row r="73" spans="2:20" ht="24" customHeight="1" outlineLevel="1" x14ac:dyDescent="0.35">
      <c r="B73" s="454" t="s">
        <v>122</v>
      </c>
      <c r="C73" s="424">
        <v>1394</v>
      </c>
      <c r="D73" s="424">
        <v>3244</v>
      </c>
      <c r="E73" s="492">
        <v>2031</v>
      </c>
      <c r="F73" s="317"/>
      <c r="G73" s="317"/>
      <c r="H73" s="317"/>
      <c r="I73" s="317"/>
      <c r="J73" s="317"/>
      <c r="K73" s="317"/>
      <c r="L73" s="317"/>
      <c r="M73" s="317"/>
      <c r="N73" s="317"/>
      <c r="O73" s="317"/>
    </row>
    <row r="74" spans="2:20" ht="24" customHeight="1" outlineLevel="1" x14ac:dyDescent="0.35">
      <c r="B74" s="496" t="s">
        <v>45</v>
      </c>
      <c r="C74" s="497">
        <f>C72+C73-C57-C62</f>
        <v>3835</v>
      </c>
      <c r="D74" s="497">
        <f>D72+D73-D57-D62</f>
        <v>10010</v>
      </c>
      <c r="E74" s="498">
        <f t="shared" ref="E74" si="44">E72+E73-E57-E62</f>
        <v>8775</v>
      </c>
      <c r="F74" s="317"/>
      <c r="G74" s="317"/>
      <c r="H74" s="317"/>
      <c r="I74" s="317"/>
      <c r="J74" s="317"/>
      <c r="K74" s="317"/>
      <c r="L74" s="317"/>
      <c r="M74" s="317"/>
      <c r="N74" s="317"/>
      <c r="O74" s="317"/>
    </row>
    <row r="75" spans="2:20" ht="24" customHeight="1" outlineLevel="1" thickBot="1" x14ac:dyDescent="0.25">
      <c r="C75" s="317"/>
      <c r="D75" s="317"/>
      <c r="E75" s="317"/>
      <c r="F75" s="317"/>
      <c r="G75" s="317"/>
      <c r="H75" s="317"/>
      <c r="I75" s="317"/>
      <c r="J75" s="317"/>
      <c r="K75" s="317"/>
      <c r="L75" s="317"/>
      <c r="M75" s="317"/>
      <c r="N75" s="317"/>
      <c r="O75" s="317"/>
    </row>
    <row r="76" spans="2:20" ht="24" customHeight="1" outlineLevel="1" x14ac:dyDescent="0.2">
      <c r="B76" s="364" t="s">
        <v>123</v>
      </c>
      <c r="C76" s="365" t="str">
        <f>C$4</f>
        <v>2023A</v>
      </c>
      <c r="D76" s="365" t="str">
        <f t="shared" ref="D76:O76" si="45">D$4</f>
        <v>2024A</v>
      </c>
      <c r="E76" s="365" t="str">
        <f t="shared" si="45"/>
        <v>2025A</v>
      </c>
      <c r="F76" s="365" t="str">
        <f t="shared" si="45"/>
        <v>2026P</v>
      </c>
      <c r="G76" s="365" t="str">
        <f t="shared" si="45"/>
        <v>2027P</v>
      </c>
      <c r="H76" s="365" t="str">
        <f t="shared" si="45"/>
        <v>2028P</v>
      </c>
      <c r="I76" s="365" t="str">
        <f t="shared" si="45"/>
        <v xml:space="preserve">2029P </v>
      </c>
      <c r="J76" s="365" t="str">
        <f t="shared" si="45"/>
        <v>2030P</v>
      </c>
      <c r="K76" s="365" t="str">
        <f t="shared" si="45"/>
        <v>2031P</v>
      </c>
      <c r="L76" s="365" t="str">
        <f t="shared" si="45"/>
        <v>2032P</v>
      </c>
      <c r="M76" s="365" t="str">
        <f t="shared" si="45"/>
        <v xml:space="preserve">2033P </v>
      </c>
      <c r="N76" s="365" t="str">
        <f t="shared" si="45"/>
        <v>2034P</v>
      </c>
      <c r="O76" s="366" t="str">
        <f t="shared" si="45"/>
        <v>2035P</v>
      </c>
      <c r="Q76" s="323"/>
      <c r="R76" s="324"/>
      <c r="S76" s="325"/>
      <c r="T76" s="325"/>
    </row>
    <row r="77" spans="2:20" ht="24" customHeight="1" outlineLevel="1" x14ac:dyDescent="0.2">
      <c r="B77" s="480" t="s">
        <v>480</v>
      </c>
      <c r="C77" s="473">
        <f>C130</f>
        <v>12539</v>
      </c>
      <c r="D77" s="473">
        <f>D130</f>
        <v>8177</v>
      </c>
      <c r="E77" s="473">
        <f t="shared" ref="E77" si="46">E130</f>
        <v>13939</v>
      </c>
      <c r="F77" s="473">
        <f>F130</f>
        <v>13939</v>
      </c>
      <c r="G77" s="473">
        <f>G130</f>
        <v>13939</v>
      </c>
      <c r="H77" s="473">
        <f t="shared" ref="H77:O77" si="47">H130</f>
        <v>13939</v>
      </c>
      <c r="I77" s="473">
        <f t="shared" si="47"/>
        <v>13939</v>
      </c>
      <c r="J77" s="473">
        <f t="shared" si="47"/>
        <v>13939</v>
      </c>
      <c r="K77" s="473">
        <f t="shared" si="47"/>
        <v>13939</v>
      </c>
      <c r="L77" s="473">
        <f t="shared" si="47"/>
        <v>13939</v>
      </c>
      <c r="M77" s="473">
        <f t="shared" si="47"/>
        <v>13939</v>
      </c>
      <c r="N77" s="473">
        <f t="shared" si="47"/>
        <v>13939</v>
      </c>
      <c r="O77" s="474">
        <f t="shared" si="47"/>
        <v>13939</v>
      </c>
      <c r="Q77" s="323"/>
      <c r="R77" s="324"/>
      <c r="S77" s="325"/>
      <c r="T77" s="325"/>
    </row>
    <row r="78" spans="2:20" ht="24" customHeight="1" outlineLevel="1" x14ac:dyDescent="0.2">
      <c r="B78" s="337" t="s">
        <v>125</v>
      </c>
      <c r="C78" s="473">
        <f>C136</f>
        <v>1650</v>
      </c>
      <c r="D78" s="473">
        <f t="shared" ref="D78:E78" si="48">D136</f>
        <v>1171</v>
      </c>
      <c r="E78" s="473">
        <f t="shared" si="48"/>
        <v>2239</v>
      </c>
      <c r="F78" s="473">
        <f t="shared" ref="F78:O78" si="49">F136</f>
        <v>20005.187673531676</v>
      </c>
      <c r="G78" s="473">
        <f>G136</f>
        <v>35897.651662725693</v>
      </c>
      <c r="H78" s="473">
        <f t="shared" si="49"/>
        <v>64908.665433917296</v>
      </c>
      <c r="I78" s="473">
        <f t="shared" si="49"/>
        <v>90546.766399682485</v>
      </c>
      <c r="J78" s="473">
        <f t="shared" si="49"/>
        <v>125538.89787987301</v>
      </c>
      <c r="K78" s="473">
        <f t="shared" si="49"/>
        <v>162397.58137037201</v>
      </c>
      <c r="L78" s="473">
        <f t="shared" si="49"/>
        <v>204711.37259744317</v>
      </c>
      <c r="M78" s="473">
        <f t="shared" si="49"/>
        <v>251607.97486218714</v>
      </c>
      <c r="N78" s="473">
        <f t="shared" si="49"/>
        <v>299195.09760058369</v>
      </c>
      <c r="O78" s="474">
        <f t="shared" si="49"/>
        <v>351835.20345865667</v>
      </c>
      <c r="Q78" s="323"/>
      <c r="R78" s="324"/>
      <c r="S78" s="325"/>
      <c r="T78" s="325"/>
    </row>
    <row r="79" spans="2:20" ht="24" customHeight="1" x14ac:dyDescent="0.2">
      <c r="B79" s="337" t="s">
        <v>126</v>
      </c>
      <c r="C79" s="473">
        <f t="shared" ref="C79:O79" si="50">C146</f>
        <v>3154</v>
      </c>
      <c r="D79" s="473">
        <f t="shared" si="50"/>
        <v>4416</v>
      </c>
      <c r="E79" s="473">
        <f t="shared" si="50"/>
        <v>7145</v>
      </c>
      <c r="F79" s="473">
        <f>F146</f>
        <v>8495.4397260273981</v>
      </c>
      <c r="G79" s="473">
        <f t="shared" si="50"/>
        <v>10981.241753424656</v>
      </c>
      <c r="H79" s="473">
        <f t="shared" si="50"/>
        <v>13043.765924383562</v>
      </c>
      <c r="I79" s="473">
        <f t="shared" si="50"/>
        <v>14873.265377753421</v>
      </c>
      <c r="J79" s="473">
        <f t="shared" si="50"/>
        <v>16485.99833719233</v>
      </c>
      <c r="K79" s="473">
        <f t="shared" si="50"/>
        <v>17840.694023121006</v>
      </c>
      <c r="L79" s="473">
        <f t="shared" si="50"/>
        <v>19160.584800174391</v>
      </c>
      <c r="M79" s="473">
        <f t="shared" si="50"/>
        <v>20390.166401598446</v>
      </c>
      <c r="N79" s="473">
        <f t="shared" si="50"/>
        <v>21352.170164365474</v>
      </c>
      <c r="O79" s="474">
        <f t="shared" si="50"/>
        <v>22268.595551237704</v>
      </c>
      <c r="Q79" s="323"/>
      <c r="R79" s="324"/>
      <c r="S79" s="325"/>
      <c r="T79" s="325"/>
    </row>
    <row r="80" spans="2:20" ht="24" customHeight="1" outlineLevel="1" x14ac:dyDescent="0.2">
      <c r="B80" s="337" t="s">
        <v>127</v>
      </c>
      <c r="C80" s="473">
        <f t="shared" ref="C80:O80" si="51">C147</f>
        <v>1898</v>
      </c>
      <c r="D80" s="473">
        <f t="shared" si="51"/>
        <v>1760</v>
      </c>
      <c r="E80" s="473">
        <f t="shared" si="51"/>
        <v>2270</v>
      </c>
      <c r="F80" s="473">
        <f t="shared" si="51"/>
        <v>8384.4406849315092</v>
      </c>
      <c r="G80" s="473">
        <f t="shared" si="51"/>
        <v>11192.512536986302</v>
      </c>
      <c r="H80" s="473">
        <f t="shared" si="51"/>
        <v>13488.286473863012</v>
      </c>
      <c r="I80" s="473">
        <f t="shared" si="51"/>
        <v>15525.01799368767</v>
      </c>
      <c r="J80" s="473">
        <f t="shared" si="51"/>
        <v>17426.093378571222</v>
      </c>
      <c r="K80" s="473">
        <f t="shared" si="51"/>
        <v>18933.606676559568</v>
      </c>
      <c r="L80" s="473">
        <f t="shared" si="51"/>
        <v>20397.680402423219</v>
      </c>
      <c r="M80" s="473">
        <f t="shared" si="51"/>
        <v>21847.942652298232</v>
      </c>
      <c r="N80" s="473">
        <f t="shared" si="51"/>
        <v>22992.047717020287</v>
      </c>
      <c r="O80" s="474">
        <f t="shared" si="51"/>
        <v>24088.111935218665</v>
      </c>
      <c r="Q80" s="323"/>
      <c r="R80" s="324"/>
      <c r="S80" s="325"/>
      <c r="T80" s="325"/>
    </row>
    <row r="81" spans="2:21" ht="24" customHeight="1" outlineLevel="1" x14ac:dyDescent="0.35">
      <c r="B81" s="337" t="s">
        <v>128</v>
      </c>
      <c r="C81" s="481">
        <f t="shared" ref="C81:O81" si="52">C148</f>
        <v>1606</v>
      </c>
      <c r="D81" s="481">
        <f t="shared" si="52"/>
        <v>4071</v>
      </c>
      <c r="E81" s="481">
        <f t="shared" si="52"/>
        <v>5980</v>
      </c>
      <c r="F81" s="481">
        <f>F148</f>
        <v>6378.8616000000002</v>
      </c>
      <c r="G81" s="481">
        <f t="shared" si="52"/>
        <v>8245.3438079999978</v>
      </c>
      <c r="H81" s="481">
        <f t="shared" si="52"/>
        <v>9794.0048140799991</v>
      </c>
      <c r="I81" s="481">
        <f t="shared" si="52"/>
        <v>11167.697546495998</v>
      </c>
      <c r="J81" s="481">
        <f t="shared" si="52"/>
        <v>12378.629608611838</v>
      </c>
      <c r="K81" s="481">
        <f t="shared" si="52"/>
        <v>13395.812540789144</v>
      </c>
      <c r="L81" s="481">
        <f t="shared" si="52"/>
        <v>14386.861958530943</v>
      </c>
      <c r="M81" s="481">
        <f t="shared" si="52"/>
        <v>15310.102086685918</v>
      </c>
      <c r="N81" s="481">
        <f t="shared" si="52"/>
        <v>16032.429483414988</v>
      </c>
      <c r="O81" s="482">
        <f t="shared" si="52"/>
        <v>16720.534031043622</v>
      </c>
      <c r="Q81" s="323"/>
      <c r="R81" s="324"/>
      <c r="S81" s="325"/>
      <c r="T81" s="325"/>
    </row>
    <row r="82" spans="2:21" ht="24" customHeight="1" outlineLevel="1" x14ac:dyDescent="0.2">
      <c r="B82" s="511" t="s">
        <v>484</v>
      </c>
      <c r="C82" s="473">
        <f t="shared" ref="C82:O82" si="53">SUM(C77:C81)</f>
        <v>20847</v>
      </c>
      <c r="D82" s="473">
        <f t="shared" si="53"/>
        <v>19595</v>
      </c>
      <c r="E82" s="473">
        <f t="shared" si="53"/>
        <v>31573</v>
      </c>
      <c r="F82" s="473">
        <f t="shared" si="53"/>
        <v>57202.929684490591</v>
      </c>
      <c r="G82" s="473">
        <f t="shared" si="53"/>
        <v>80255.749761136656</v>
      </c>
      <c r="H82" s="473">
        <f t="shared" si="53"/>
        <v>115173.72264624387</v>
      </c>
      <c r="I82" s="473">
        <f t="shared" si="53"/>
        <v>146051.74731761959</v>
      </c>
      <c r="J82" s="473">
        <f t="shared" si="53"/>
        <v>185768.61920424839</v>
      </c>
      <c r="K82" s="473">
        <f t="shared" si="53"/>
        <v>226506.69461084172</v>
      </c>
      <c r="L82" s="473">
        <f t="shared" si="53"/>
        <v>272595.49975857174</v>
      </c>
      <c r="M82" s="473">
        <f t="shared" si="53"/>
        <v>323095.18600276974</v>
      </c>
      <c r="N82" s="473">
        <f t="shared" si="53"/>
        <v>373510.74496538442</v>
      </c>
      <c r="O82" s="474">
        <f t="shared" si="53"/>
        <v>428851.44497615669</v>
      </c>
      <c r="Q82" s="323"/>
      <c r="R82" s="324"/>
      <c r="S82" s="325"/>
      <c r="T82" s="325"/>
    </row>
    <row r="83" spans="2:21" ht="24" customHeight="1" outlineLevel="1" x14ac:dyDescent="0.2">
      <c r="B83" s="337"/>
      <c r="C83" s="473"/>
      <c r="D83" s="317"/>
      <c r="E83" s="473"/>
      <c r="F83" s="473"/>
      <c r="G83" s="473"/>
      <c r="H83" s="473"/>
      <c r="I83" s="473"/>
      <c r="J83" s="473"/>
      <c r="K83" s="473"/>
      <c r="L83" s="473"/>
      <c r="M83" s="473"/>
      <c r="N83" s="473"/>
      <c r="O83" s="474"/>
      <c r="Q83" s="323"/>
      <c r="R83" s="324"/>
      <c r="S83" s="325"/>
      <c r="T83" s="325"/>
    </row>
    <row r="84" spans="2:21" ht="24" customHeight="1" outlineLevel="1" x14ac:dyDescent="0.2">
      <c r="B84" s="337" t="s">
        <v>132</v>
      </c>
      <c r="C84" s="473">
        <f>C166</f>
        <v>3867</v>
      </c>
      <c r="D84" s="473">
        <f>D166</f>
        <v>40583</v>
      </c>
      <c r="E84" s="473">
        <f>E166</f>
        <v>32273</v>
      </c>
      <c r="F84" s="473">
        <f t="shared" ref="F84:O84" si="54">F166</f>
        <v>24813.827675</v>
      </c>
      <c r="G84" s="473">
        <f t="shared" si="54"/>
        <v>18549.272437449999</v>
      </c>
      <c r="H84" s="473">
        <f t="shared" si="54"/>
        <v>13439.282868184</v>
      </c>
      <c r="I84" s="473">
        <f t="shared" si="54"/>
        <v>9472.5980944911207</v>
      </c>
      <c r="J84" s="473">
        <f t="shared" si="54"/>
        <v>6666.9649695212174</v>
      </c>
      <c r="K84" s="473">
        <f t="shared" si="54"/>
        <v>4855.4733386661837</v>
      </c>
      <c r="L84" s="473">
        <f t="shared" si="54"/>
        <v>4528.7472313192784</v>
      </c>
      <c r="M84" s="473">
        <f t="shared" si="54"/>
        <v>4794.6893862838879</v>
      </c>
      <c r="N84" s="473">
        <f t="shared" si="54"/>
        <v>5242.1230426193924</v>
      </c>
      <c r="O84" s="474">
        <f t="shared" si="54"/>
        <v>5645.001699649556</v>
      </c>
      <c r="Q84" s="323"/>
      <c r="R84" s="324"/>
      <c r="S84" s="325"/>
      <c r="T84" s="325"/>
    </row>
    <row r="85" spans="2:21" ht="24" customHeight="1" outlineLevel="1" x14ac:dyDescent="0.2">
      <c r="B85" s="337" t="s">
        <v>133</v>
      </c>
      <c r="C85" s="473">
        <f>C175</f>
        <v>463</v>
      </c>
      <c r="D85" s="473">
        <f>D175</f>
        <v>1325</v>
      </c>
      <c r="E85" s="473">
        <f>E175</f>
        <v>1318</v>
      </c>
      <c r="F85" s="473">
        <f t="shared" ref="F85:O85" si="55">F175</f>
        <v>1504.335</v>
      </c>
      <c r="G85" s="473">
        <f t="shared" si="55"/>
        <v>1599.5768130000001</v>
      </c>
      <c r="H85" s="473">
        <f t="shared" si="55"/>
        <v>1619.3711846614001</v>
      </c>
      <c r="I85" s="473">
        <f t="shared" si="55"/>
        <v>1635.111727288215</v>
      </c>
      <c r="J85" s="473">
        <f t="shared" si="55"/>
        <v>1641.6046678525918</v>
      </c>
      <c r="K85" s="473">
        <f t="shared" si="55"/>
        <v>1648.4079709759458</v>
      </c>
      <c r="L85" s="473">
        <f t="shared" si="55"/>
        <v>1695.5364719885961</v>
      </c>
      <c r="M85" s="473">
        <f t="shared" si="55"/>
        <v>1724.917715349651</v>
      </c>
      <c r="N85" s="473">
        <f t="shared" si="55"/>
        <v>1755.7033821433643</v>
      </c>
      <c r="O85" s="474">
        <f t="shared" si="55"/>
        <v>1787.9606038098173</v>
      </c>
      <c r="Q85" s="323"/>
      <c r="R85" s="324"/>
      <c r="S85" s="325"/>
      <c r="T85" s="325"/>
    </row>
    <row r="86" spans="2:21" ht="24" customHeight="1" outlineLevel="1" x14ac:dyDescent="0.2">
      <c r="B86" s="337" t="s">
        <v>134</v>
      </c>
      <c r="C86" s="473">
        <f>C193</f>
        <v>2154</v>
      </c>
      <c r="D86" s="473">
        <f>D193</f>
        <v>2521</v>
      </c>
      <c r="E86" s="473">
        <f>E193</f>
        <v>2530</v>
      </c>
      <c r="F86" s="473">
        <f t="shared" ref="F86:O86" si="56">F193</f>
        <v>3244.1395000000002</v>
      </c>
      <c r="G86" s="473">
        <f t="shared" si="56"/>
        <v>4173.5935614999999</v>
      </c>
      <c r="H86" s="473">
        <f t="shared" si="56"/>
        <v>5199.8279956554998</v>
      </c>
      <c r="I86" s="473">
        <f t="shared" si="56"/>
        <v>6262.8734482312129</v>
      </c>
      <c r="J86" s="473">
        <f t="shared" si="56"/>
        <v>8179.5034249254286</v>
      </c>
      <c r="K86" s="473">
        <f t="shared" si="56"/>
        <v>9912.9431317766448</v>
      </c>
      <c r="L86" s="473">
        <f t="shared" si="56"/>
        <v>11500.448494791293</v>
      </c>
      <c r="M86" s="473">
        <f t="shared" si="56"/>
        <v>12958.645645747543</v>
      </c>
      <c r="N86" s="473">
        <f t="shared" si="56"/>
        <v>14263.147388112831</v>
      </c>
      <c r="O86" s="474">
        <f t="shared" si="56"/>
        <v>15441.795359202421</v>
      </c>
      <c r="R86" s="324"/>
      <c r="S86" s="325"/>
      <c r="T86" s="325"/>
    </row>
    <row r="87" spans="2:21" ht="24" customHeight="1" outlineLevel="1" x14ac:dyDescent="0.2">
      <c r="B87" s="337" t="s">
        <v>136</v>
      </c>
      <c r="C87" s="446">
        <f t="shared" ref="C87:O87" si="57">C204</f>
        <v>43653</v>
      </c>
      <c r="D87" s="446">
        <f t="shared" si="57"/>
        <v>97873</v>
      </c>
      <c r="E87" s="446">
        <f t="shared" si="57"/>
        <v>97801</v>
      </c>
      <c r="F87" s="446">
        <f t="shared" si="57"/>
        <v>97801</v>
      </c>
      <c r="G87" s="446">
        <f t="shared" si="57"/>
        <v>97801</v>
      </c>
      <c r="H87" s="446">
        <f t="shared" si="57"/>
        <v>97801</v>
      </c>
      <c r="I87" s="446">
        <f t="shared" si="57"/>
        <v>97801</v>
      </c>
      <c r="J87" s="446">
        <f t="shared" si="57"/>
        <v>97801</v>
      </c>
      <c r="K87" s="446">
        <f t="shared" si="57"/>
        <v>97801</v>
      </c>
      <c r="L87" s="446">
        <f t="shared" si="57"/>
        <v>97801</v>
      </c>
      <c r="M87" s="446">
        <f t="shared" si="57"/>
        <v>97801</v>
      </c>
      <c r="N87" s="446">
        <f t="shared" si="57"/>
        <v>97801</v>
      </c>
      <c r="O87" s="483">
        <f t="shared" si="57"/>
        <v>97801</v>
      </c>
      <c r="Q87" s="323"/>
      <c r="R87" s="324"/>
      <c r="S87" s="325"/>
      <c r="T87" s="325"/>
    </row>
    <row r="88" spans="2:21" ht="24" customHeight="1" outlineLevel="1" x14ac:dyDescent="0.35">
      <c r="B88" s="337" t="s">
        <v>139</v>
      </c>
      <c r="C88" s="448">
        <f t="shared" ref="C88:O88" si="58">C211</f>
        <v>1877</v>
      </c>
      <c r="D88" s="448">
        <f t="shared" si="58"/>
        <v>3748</v>
      </c>
      <c r="E88" s="448">
        <f t="shared" si="58"/>
        <v>5597</v>
      </c>
      <c r="F88" s="448">
        <f t="shared" si="58"/>
        <v>5597</v>
      </c>
      <c r="G88" s="448">
        <f t="shared" si="58"/>
        <v>5597</v>
      </c>
      <c r="H88" s="448">
        <f t="shared" si="58"/>
        <v>5597</v>
      </c>
      <c r="I88" s="448">
        <f t="shared" si="58"/>
        <v>5597</v>
      </c>
      <c r="J88" s="448">
        <f t="shared" si="58"/>
        <v>5597</v>
      </c>
      <c r="K88" s="448">
        <f t="shared" si="58"/>
        <v>5597</v>
      </c>
      <c r="L88" s="448">
        <f t="shared" si="58"/>
        <v>5597</v>
      </c>
      <c r="M88" s="448">
        <f t="shared" si="58"/>
        <v>5597</v>
      </c>
      <c r="N88" s="448">
        <f t="shared" si="58"/>
        <v>5597</v>
      </c>
      <c r="O88" s="484">
        <f t="shared" si="58"/>
        <v>5597</v>
      </c>
      <c r="Q88" s="326"/>
      <c r="R88" s="324"/>
      <c r="S88" s="325"/>
      <c r="T88" s="325"/>
    </row>
    <row r="89" spans="2:21" ht="24" customHeight="1" outlineLevel="1" x14ac:dyDescent="0.2">
      <c r="B89" s="511" t="s">
        <v>483</v>
      </c>
      <c r="C89" s="473">
        <f>SUM(C84:C88)+C82</f>
        <v>72861</v>
      </c>
      <c r="D89" s="473">
        <f>SUM(D84:D88)+D82</f>
        <v>165645</v>
      </c>
      <c r="E89" s="473">
        <f>SUM(E84:E88)+E82</f>
        <v>171092</v>
      </c>
      <c r="F89" s="473">
        <f t="shared" ref="F89:O89" si="59">SUM(F84:F88)+F82</f>
        <v>190163.23185949062</v>
      </c>
      <c r="G89" s="473">
        <f t="shared" si="59"/>
        <v>207976.19257308665</v>
      </c>
      <c r="H89" s="473">
        <f t="shared" si="59"/>
        <v>238830.20469474478</v>
      </c>
      <c r="I89" s="473">
        <f t="shared" si="59"/>
        <v>266820.33058763016</v>
      </c>
      <c r="J89" s="473">
        <f t="shared" si="59"/>
        <v>305654.69226654764</v>
      </c>
      <c r="K89" s="473">
        <f t="shared" si="59"/>
        <v>346321.5190522605</v>
      </c>
      <c r="L89" s="473">
        <f t="shared" si="59"/>
        <v>393718.23195667088</v>
      </c>
      <c r="M89" s="473">
        <f t="shared" si="59"/>
        <v>445971.43875015085</v>
      </c>
      <c r="N89" s="473">
        <f t="shared" si="59"/>
        <v>498169.71877825999</v>
      </c>
      <c r="O89" s="474">
        <f t="shared" si="59"/>
        <v>555124.20263881853</v>
      </c>
      <c r="Q89" s="326"/>
      <c r="R89" s="324"/>
      <c r="S89" s="325"/>
      <c r="T89" s="325"/>
    </row>
    <row r="90" spans="2:21" ht="24" customHeight="1" outlineLevel="1" x14ac:dyDescent="0.2">
      <c r="B90" s="337"/>
      <c r="C90" s="473"/>
      <c r="D90" s="317"/>
      <c r="E90" s="485"/>
      <c r="F90" s="473"/>
      <c r="G90" s="473"/>
      <c r="H90" s="473"/>
      <c r="I90" s="473"/>
      <c r="J90" s="473"/>
      <c r="K90" s="473"/>
      <c r="L90" s="473"/>
      <c r="M90" s="473"/>
      <c r="N90" s="473"/>
      <c r="O90" s="474"/>
      <c r="Q90" s="326"/>
      <c r="R90" s="324"/>
      <c r="S90" s="325"/>
      <c r="T90" s="325"/>
    </row>
    <row r="91" spans="2:21" ht="24" customHeight="1" outlineLevel="1" x14ac:dyDescent="0.2">
      <c r="B91" s="337" t="s">
        <v>145</v>
      </c>
      <c r="C91" s="473">
        <f t="shared" ref="C91:O91" si="60">C149</f>
        <v>1210</v>
      </c>
      <c r="D91" s="473">
        <f t="shared" si="60"/>
        <v>1662</v>
      </c>
      <c r="E91" s="473">
        <f t="shared" si="60"/>
        <v>1560</v>
      </c>
      <c r="F91" s="473">
        <f t="shared" si="60"/>
        <v>2683.0210191780825</v>
      </c>
      <c r="G91" s="473">
        <f t="shared" si="60"/>
        <v>3581.6040118356159</v>
      </c>
      <c r="H91" s="473">
        <f t="shared" si="60"/>
        <v>4316.2516716361642</v>
      </c>
      <c r="I91" s="473">
        <f t="shared" si="60"/>
        <v>4968.0057579800541</v>
      </c>
      <c r="J91" s="473">
        <f t="shared" si="60"/>
        <v>5576.3498811427908</v>
      </c>
      <c r="K91" s="473">
        <f t="shared" si="60"/>
        <v>6058.7541364990611</v>
      </c>
      <c r="L91" s="473">
        <f t="shared" si="60"/>
        <v>6527.2577287754302</v>
      </c>
      <c r="M91" s="473">
        <f t="shared" si="60"/>
        <v>6991.3416487354352</v>
      </c>
      <c r="N91" s="473">
        <f t="shared" si="60"/>
        <v>7357.4552694464919</v>
      </c>
      <c r="O91" s="474">
        <f t="shared" si="60"/>
        <v>7708.1958192699731</v>
      </c>
      <c r="Q91" s="327"/>
      <c r="R91" s="328"/>
      <c r="S91" s="325"/>
      <c r="T91" s="325"/>
    </row>
    <row r="92" spans="2:21" ht="24" customHeight="1" outlineLevel="1" x14ac:dyDescent="0.2">
      <c r="B92" s="337" t="s">
        <v>147</v>
      </c>
      <c r="C92" s="473">
        <f t="shared" ref="C92:O92" si="61">C150</f>
        <v>935</v>
      </c>
      <c r="D92" s="473">
        <f t="shared" si="61"/>
        <v>1971</v>
      </c>
      <c r="E92" s="473">
        <f t="shared" si="61"/>
        <v>2129</v>
      </c>
      <c r="F92" s="473">
        <f t="shared" si="61"/>
        <v>2861.6281900000004</v>
      </c>
      <c r="G92" s="473">
        <f t="shared" si="61"/>
        <v>3698.9528471999997</v>
      </c>
      <c r="H92" s="473">
        <f t="shared" si="61"/>
        <v>4393.6993818720002</v>
      </c>
      <c r="I92" s="473">
        <f t="shared" si="61"/>
        <v>5009.9532048863994</v>
      </c>
      <c r="J92" s="473">
        <f t="shared" si="61"/>
        <v>5553.1907827522564</v>
      </c>
      <c r="K92" s="473">
        <f t="shared" si="61"/>
        <v>6009.5103481595752</v>
      </c>
      <c r="L92" s="473">
        <f t="shared" si="61"/>
        <v>6454.1061286187432</v>
      </c>
      <c r="M92" s="473">
        <f t="shared" si="61"/>
        <v>6868.2819083327113</v>
      </c>
      <c r="N92" s="473">
        <f t="shared" si="61"/>
        <v>7192.3260043653363</v>
      </c>
      <c r="O92" s="474">
        <f t="shared" si="61"/>
        <v>7501.0173500376268</v>
      </c>
      <c r="Q92" s="327"/>
      <c r="R92" s="328"/>
      <c r="S92" s="325"/>
      <c r="T92" s="325"/>
    </row>
    <row r="93" spans="2:21" ht="24" customHeight="1" outlineLevel="1" x14ac:dyDescent="0.2">
      <c r="B93" s="337" t="s">
        <v>149</v>
      </c>
      <c r="C93" s="473">
        <f>C151</f>
        <v>3592</v>
      </c>
      <c r="D93" s="473">
        <f t="shared" ref="D93:O93" si="62">D151</f>
        <v>11586</v>
      </c>
      <c r="E93" s="473">
        <f t="shared" si="62"/>
        <v>11529</v>
      </c>
      <c r="F93" s="473">
        <f t="shared" si="62"/>
        <v>14910.58899</v>
      </c>
      <c r="G93" s="473">
        <f t="shared" si="62"/>
        <v>19273.4911512</v>
      </c>
      <c r="H93" s="473">
        <f t="shared" si="62"/>
        <v>22893.486252912</v>
      </c>
      <c r="I93" s="473">
        <f t="shared" si="62"/>
        <v>26104.493014934396</v>
      </c>
      <c r="J93" s="473">
        <f t="shared" si="62"/>
        <v>28935.046710130177</v>
      </c>
      <c r="K93" s="473">
        <f t="shared" si="62"/>
        <v>31312.71181409463</v>
      </c>
      <c r="L93" s="473">
        <f t="shared" si="62"/>
        <v>33629.289828066081</v>
      </c>
      <c r="M93" s="473">
        <f t="shared" si="62"/>
        <v>35787.363627628336</v>
      </c>
      <c r="N93" s="473">
        <f t="shared" si="62"/>
        <v>37475.803917482539</v>
      </c>
      <c r="O93" s="474">
        <f t="shared" si="62"/>
        <v>39084.248297564474</v>
      </c>
      <c r="Q93" s="327"/>
      <c r="R93" s="328"/>
      <c r="S93" s="325"/>
      <c r="T93" s="325"/>
      <c r="U93" s="316"/>
    </row>
    <row r="94" spans="2:21" ht="24" customHeight="1" outlineLevel="1" x14ac:dyDescent="0.2">
      <c r="B94" s="337" t="s">
        <v>151</v>
      </c>
      <c r="C94" s="473">
        <f t="shared" ref="C94:O94" si="63">SUM(C91:C93)</f>
        <v>5737</v>
      </c>
      <c r="D94" s="473">
        <f t="shared" si="63"/>
        <v>15219</v>
      </c>
      <c r="E94" s="473">
        <f t="shared" si="63"/>
        <v>15218</v>
      </c>
      <c r="F94" s="473">
        <f>SUM(F91:F93)</f>
        <v>20455.238199178082</v>
      </c>
      <c r="G94" s="473">
        <f t="shared" si="63"/>
        <v>26554.048010235616</v>
      </c>
      <c r="H94" s="473">
        <f t="shared" si="63"/>
        <v>31603.437306420165</v>
      </c>
      <c r="I94" s="473">
        <f t="shared" si="63"/>
        <v>36082.451977800854</v>
      </c>
      <c r="J94" s="473">
        <f t="shared" si="63"/>
        <v>40064.587374025228</v>
      </c>
      <c r="K94" s="473">
        <f t="shared" si="63"/>
        <v>43380.976298753267</v>
      </c>
      <c r="L94" s="473">
        <f t="shared" si="63"/>
        <v>46610.653685460253</v>
      </c>
      <c r="M94" s="473">
        <f t="shared" si="63"/>
        <v>49646.987184696482</v>
      </c>
      <c r="N94" s="473">
        <f t="shared" si="63"/>
        <v>52025.585191294369</v>
      </c>
      <c r="O94" s="474">
        <f t="shared" si="63"/>
        <v>54293.461466872075</v>
      </c>
      <c r="Q94" s="327"/>
      <c r="R94" s="328"/>
      <c r="S94" s="325"/>
      <c r="T94" s="325"/>
    </row>
    <row r="95" spans="2:21" ht="24" customHeight="1" outlineLevel="1" x14ac:dyDescent="0.2">
      <c r="B95" s="337" t="s">
        <v>153</v>
      </c>
      <c r="C95" s="473">
        <f>C180</f>
        <v>419</v>
      </c>
      <c r="D95" s="473">
        <f t="shared" ref="D95:O95" si="64">D180</f>
        <v>1350</v>
      </c>
      <c r="E95" s="473">
        <f t="shared" si="64"/>
        <v>1325</v>
      </c>
      <c r="F95" s="473">
        <f t="shared" si="64"/>
        <v>1511.335</v>
      </c>
      <c r="G95" s="473">
        <f t="shared" si="64"/>
        <v>1606.5768130000001</v>
      </c>
      <c r="H95" s="473">
        <f t="shared" si="64"/>
        <v>1626.3711846614001</v>
      </c>
      <c r="I95" s="473">
        <f t="shared" si="64"/>
        <v>1642.111727288215</v>
      </c>
      <c r="J95" s="473">
        <f t="shared" si="64"/>
        <v>1648.6046678525918</v>
      </c>
      <c r="K95" s="473">
        <f t="shared" si="64"/>
        <v>1655.4079709759458</v>
      </c>
      <c r="L95" s="473">
        <f t="shared" si="64"/>
        <v>1702.5364719885961</v>
      </c>
      <c r="M95" s="473">
        <f t="shared" si="64"/>
        <v>1731.917715349651</v>
      </c>
      <c r="N95" s="473">
        <f t="shared" si="64"/>
        <v>1762.7033821433643</v>
      </c>
      <c r="O95" s="474">
        <f t="shared" si="64"/>
        <v>1794.9606038098173</v>
      </c>
      <c r="Q95" s="327"/>
      <c r="R95" s="328"/>
      <c r="S95" s="325"/>
      <c r="T95" s="325"/>
    </row>
    <row r="96" spans="2:21" ht="24" customHeight="1" outlineLevel="1" x14ac:dyDescent="0.2">
      <c r="B96" s="337" t="s">
        <v>154</v>
      </c>
      <c r="C96" s="446">
        <f t="shared" ref="C96:O96" si="65">C218</f>
        <v>3488</v>
      </c>
      <c r="D96" s="446">
        <f t="shared" si="65"/>
        <v>13832</v>
      </c>
      <c r="E96" s="446">
        <f t="shared" si="65"/>
        <v>8121</v>
      </c>
      <c r="F96" s="446">
        <f t="shared" si="65"/>
        <v>8121</v>
      </c>
      <c r="G96" s="446">
        <f t="shared" si="65"/>
        <v>8121</v>
      </c>
      <c r="H96" s="446">
        <f t="shared" si="65"/>
        <v>8121</v>
      </c>
      <c r="I96" s="446">
        <f t="shared" si="65"/>
        <v>8121</v>
      </c>
      <c r="J96" s="446">
        <f t="shared" si="65"/>
        <v>8121</v>
      </c>
      <c r="K96" s="446">
        <f t="shared" si="65"/>
        <v>8121</v>
      </c>
      <c r="L96" s="446">
        <f t="shared" si="65"/>
        <v>8121</v>
      </c>
      <c r="M96" s="446">
        <f t="shared" si="65"/>
        <v>8121</v>
      </c>
      <c r="N96" s="446">
        <f t="shared" si="65"/>
        <v>8121</v>
      </c>
      <c r="O96" s="483">
        <f t="shared" si="65"/>
        <v>8121</v>
      </c>
      <c r="Q96" s="323"/>
      <c r="R96" s="328"/>
      <c r="S96" s="325"/>
      <c r="T96" s="325"/>
    </row>
    <row r="97" spans="2:20" ht="24" customHeight="1" outlineLevel="1" x14ac:dyDescent="0.35">
      <c r="B97" s="337" t="s">
        <v>156</v>
      </c>
      <c r="C97" s="481">
        <f t="shared" ref="C97:O97" si="66">C248</f>
        <v>39229</v>
      </c>
      <c r="D97" s="481">
        <f t="shared" si="66"/>
        <v>67566</v>
      </c>
      <c r="E97" s="481">
        <f t="shared" si="66"/>
        <v>65136</v>
      </c>
      <c r="F97" s="481">
        <f t="shared" si="66"/>
        <v>63196</v>
      </c>
      <c r="G97" s="481">
        <f t="shared" si="66"/>
        <v>51464</v>
      </c>
      <c r="H97" s="481">
        <f t="shared" si="66"/>
        <v>47194</v>
      </c>
      <c r="I97" s="481">
        <f t="shared" si="66"/>
        <v>34539</v>
      </c>
      <c r="J97" s="481">
        <f t="shared" si="66"/>
        <v>29827</v>
      </c>
      <c r="K97" s="481">
        <f t="shared" si="66"/>
        <v>24077</v>
      </c>
      <c r="L97" s="481">
        <f t="shared" si="66"/>
        <v>20002</v>
      </c>
      <c r="M97" s="481">
        <f t="shared" si="66"/>
        <v>16002</v>
      </c>
      <c r="N97" s="481">
        <f t="shared" si="66"/>
        <v>10996</v>
      </c>
      <c r="O97" s="482">
        <f t="shared" si="66"/>
        <v>7746</v>
      </c>
      <c r="Q97" s="323"/>
      <c r="R97" s="328"/>
      <c r="S97" s="325"/>
      <c r="T97" s="325"/>
    </row>
    <row r="98" spans="2:20" ht="24" customHeight="1" outlineLevel="1" x14ac:dyDescent="0.2">
      <c r="B98" s="511" t="s">
        <v>481</v>
      </c>
      <c r="C98" s="473">
        <f t="shared" ref="C98:O98" si="67">SUM(C94:C97)</f>
        <v>48873</v>
      </c>
      <c r="D98" s="473">
        <f t="shared" si="67"/>
        <v>97967</v>
      </c>
      <c r="E98" s="473">
        <f t="shared" si="67"/>
        <v>89800</v>
      </c>
      <c r="F98" s="473">
        <f>SUM(F94:F97)</f>
        <v>93283.573199178078</v>
      </c>
      <c r="G98" s="473">
        <f t="shared" si="67"/>
        <v>87745.624823235616</v>
      </c>
      <c r="H98" s="473">
        <f t="shared" si="67"/>
        <v>88544.808491081567</v>
      </c>
      <c r="I98" s="473">
        <f t="shared" si="67"/>
        <v>80384.563705089065</v>
      </c>
      <c r="J98" s="473">
        <f t="shared" si="67"/>
        <v>79661.192041877817</v>
      </c>
      <c r="K98" s="473">
        <f t="shared" si="67"/>
        <v>77234.384269729213</v>
      </c>
      <c r="L98" s="473">
        <f t="shared" si="67"/>
        <v>76436.190157448844</v>
      </c>
      <c r="M98" s="473">
        <f t="shared" si="67"/>
        <v>75501.904900046124</v>
      </c>
      <c r="N98" s="473">
        <f t="shared" si="67"/>
        <v>72905.288573437734</v>
      </c>
      <c r="O98" s="474">
        <f t="shared" si="67"/>
        <v>71955.422070681889</v>
      </c>
      <c r="Q98" s="323"/>
      <c r="R98" s="328"/>
      <c r="S98" s="325"/>
      <c r="T98" s="325"/>
    </row>
    <row r="99" spans="2:20" ht="24" customHeight="1" outlineLevel="1" x14ac:dyDescent="0.35">
      <c r="B99" s="337" t="s">
        <v>160</v>
      </c>
      <c r="C99" s="481">
        <f t="shared" ref="C99:O99" si="68">C262</f>
        <v>23988</v>
      </c>
      <c r="D99" s="481">
        <f t="shared" si="68"/>
        <v>67678</v>
      </c>
      <c r="E99" s="481">
        <f t="shared" si="68"/>
        <v>81292</v>
      </c>
      <c r="F99" s="481">
        <f t="shared" si="68"/>
        <v>96879.658660312503</v>
      </c>
      <c r="G99" s="481">
        <f t="shared" si="68"/>
        <v>120230.56774985103</v>
      </c>
      <c r="H99" s="481">
        <f t="shared" si="68"/>
        <v>150285.3962036632</v>
      </c>
      <c r="I99" s="481">
        <f t="shared" si="68"/>
        <v>186435.76688254107</v>
      </c>
      <c r="J99" s="481">
        <f t="shared" si="68"/>
        <v>225993.50022466984</v>
      </c>
      <c r="K99" s="481">
        <f t="shared" si="68"/>
        <v>269087.1347825313</v>
      </c>
      <c r="L99" s="481">
        <f t="shared" si="68"/>
        <v>317282.041799222</v>
      </c>
      <c r="M99" s="481">
        <f t="shared" si="68"/>
        <v>370469.53385010466</v>
      </c>
      <c r="N99" s="481">
        <f t="shared" si="68"/>
        <v>425264.43020482222</v>
      </c>
      <c r="O99" s="482">
        <f t="shared" si="68"/>
        <v>483168.78056813648</v>
      </c>
      <c r="Q99" s="323"/>
      <c r="R99" s="328"/>
      <c r="S99" s="325"/>
      <c r="T99" s="325"/>
    </row>
    <row r="100" spans="2:20" ht="24" customHeight="1" outlineLevel="1" x14ac:dyDescent="0.2">
      <c r="B100" s="511" t="s">
        <v>482</v>
      </c>
      <c r="C100" s="473">
        <f t="shared" ref="C100:O100" si="69">SUM(C98:C99)</f>
        <v>72861</v>
      </c>
      <c r="D100" s="473">
        <f t="shared" si="69"/>
        <v>165645</v>
      </c>
      <c r="E100" s="473">
        <f t="shared" si="69"/>
        <v>171092</v>
      </c>
      <c r="F100" s="473">
        <f t="shared" si="69"/>
        <v>190163.23185949057</v>
      </c>
      <c r="G100" s="473">
        <f t="shared" si="69"/>
        <v>207976.19257308665</v>
      </c>
      <c r="H100" s="473">
        <f t="shared" si="69"/>
        <v>238830.20469474478</v>
      </c>
      <c r="I100" s="473">
        <f t="shared" si="69"/>
        <v>266820.33058763016</v>
      </c>
      <c r="J100" s="473">
        <f t="shared" si="69"/>
        <v>305654.69226654764</v>
      </c>
      <c r="K100" s="473">
        <f t="shared" si="69"/>
        <v>346321.5190522605</v>
      </c>
      <c r="L100" s="473">
        <f t="shared" si="69"/>
        <v>393718.23195667088</v>
      </c>
      <c r="M100" s="473">
        <f t="shared" si="69"/>
        <v>445971.43875015079</v>
      </c>
      <c r="N100" s="473">
        <f t="shared" si="69"/>
        <v>498169.71877825994</v>
      </c>
      <c r="O100" s="474">
        <f t="shared" si="69"/>
        <v>555124.20263881842</v>
      </c>
      <c r="Q100" s="323"/>
      <c r="R100" s="328"/>
      <c r="S100" s="325"/>
      <c r="T100" s="325"/>
    </row>
    <row r="101" spans="2:20" ht="24" customHeight="1" outlineLevel="1" thickBot="1" x14ac:dyDescent="0.25">
      <c r="B101" s="486" t="s">
        <v>164</v>
      </c>
      <c r="C101" s="487">
        <f t="shared" ref="C101:O101" si="70">C89-C100</f>
        <v>0</v>
      </c>
      <c r="D101" s="487">
        <f t="shared" si="70"/>
        <v>0</v>
      </c>
      <c r="E101" s="487">
        <f t="shared" si="70"/>
        <v>0</v>
      </c>
      <c r="F101" s="487">
        <f t="shared" si="70"/>
        <v>0</v>
      </c>
      <c r="G101" s="487">
        <f t="shared" si="70"/>
        <v>0</v>
      </c>
      <c r="H101" s="487">
        <f t="shared" si="70"/>
        <v>0</v>
      </c>
      <c r="I101" s="487">
        <f t="shared" si="70"/>
        <v>0</v>
      </c>
      <c r="J101" s="487">
        <f t="shared" si="70"/>
        <v>0</v>
      </c>
      <c r="K101" s="487">
        <f t="shared" si="70"/>
        <v>0</v>
      </c>
      <c r="L101" s="487">
        <f t="shared" si="70"/>
        <v>0</v>
      </c>
      <c r="M101" s="487">
        <f t="shared" si="70"/>
        <v>0</v>
      </c>
      <c r="N101" s="487">
        <f t="shared" si="70"/>
        <v>0</v>
      </c>
      <c r="O101" s="488">
        <f t="shared" si="70"/>
        <v>0</v>
      </c>
      <c r="Q101" s="323"/>
      <c r="R101" s="328"/>
      <c r="S101" s="325"/>
      <c r="T101" s="325"/>
    </row>
    <row r="102" spans="2:20" ht="24" customHeight="1" outlineLevel="1" thickBot="1" x14ac:dyDescent="0.25">
      <c r="C102" s="329"/>
      <c r="D102" s="329"/>
      <c r="E102" s="329"/>
      <c r="G102" s="329"/>
      <c r="H102" s="329"/>
      <c r="I102" s="329"/>
      <c r="J102" s="329"/>
      <c r="K102" s="329"/>
      <c r="L102" s="329"/>
      <c r="M102" s="329"/>
      <c r="N102" s="329"/>
      <c r="O102" s="329"/>
      <c r="Q102" s="323"/>
      <c r="R102" s="328"/>
      <c r="S102" s="325"/>
      <c r="T102" s="325"/>
    </row>
    <row r="103" spans="2:20" ht="24" customHeight="1" outlineLevel="1" x14ac:dyDescent="0.2">
      <c r="B103" s="364" t="s">
        <v>166</v>
      </c>
      <c r="C103" s="365" t="str">
        <f>C$4</f>
        <v>2023A</v>
      </c>
      <c r="D103" s="365" t="str">
        <f t="shared" ref="D103:O103" si="71">D$4</f>
        <v>2024A</v>
      </c>
      <c r="E103" s="365" t="str">
        <f t="shared" si="71"/>
        <v>2025A</v>
      </c>
      <c r="F103" s="365" t="str">
        <f t="shared" si="71"/>
        <v>2026P</v>
      </c>
      <c r="G103" s="365" t="str">
        <f t="shared" si="71"/>
        <v>2027P</v>
      </c>
      <c r="H103" s="365" t="str">
        <f t="shared" si="71"/>
        <v>2028P</v>
      </c>
      <c r="I103" s="365" t="str">
        <f t="shared" si="71"/>
        <v xml:space="preserve">2029P </v>
      </c>
      <c r="J103" s="365" t="str">
        <f t="shared" si="71"/>
        <v>2030P</v>
      </c>
      <c r="K103" s="365" t="str">
        <f t="shared" si="71"/>
        <v>2031P</v>
      </c>
      <c r="L103" s="365" t="str">
        <f t="shared" si="71"/>
        <v>2032P</v>
      </c>
      <c r="M103" s="365" t="str">
        <f t="shared" si="71"/>
        <v xml:space="preserve">2033P </v>
      </c>
      <c r="N103" s="365" t="str">
        <f t="shared" si="71"/>
        <v>2034P</v>
      </c>
      <c r="O103" s="366" t="str">
        <f t="shared" si="71"/>
        <v>2035P</v>
      </c>
      <c r="Q103" s="323"/>
      <c r="R103" s="328"/>
      <c r="S103" s="325"/>
      <c r="T103" s="325"/>
    </row>
    <row r="104" spans="2:20" ht="24" customHeight="1" outlineLevel="1" x14ac:dyDescent="0.2">
      <c r="B104" s="337" t="s">
        <v>64</v>
      </c>
      <c r="C104" s="473">
        <f t="shared" ref="C104:O104" si="72">C31</f>
        <v>14082</v>
      </c>
      <c r="D104" s="473">
        <f t="shared" si="72"/>
        <v>5895</v>
      </c>
      <c r="E104" s="473">
        <f t="shared" si="72"/>
        <v>23126</v>
      </c>
      <c r="F104" s="473">
        <f t="shared" si="72"/>
        <v>29456.257320624994</v>
      </c>
      <c r="G104" s="473">
        <f t="shared" si="72"/>
        <v>41778.848999058246</v>
      </c>
      <c r="H104" s="473">
        <f t="shared" si="72"/>
        <v>53775.671742108694</v>
      </c>
      <c r="I104" s="473">
        <f t="shared" si="72"/>
        <v>64235.63562927203</v>
      </c>
      <c r="J104" s="473">
        <f t="shared" si="72"/>
        <v>74096.622459486898</v>
      </c>
      <c r="K104" s="473">
        <f t="shared" si="72"/>
        <v>82842.519203671196</v>
      </c>
      <c r="L104" s="473">
        <f t="shared" si="72"/>
        <v>91578.70489896927</v>
      </c>
      <c r="M104" s="473">
        <f t="shared" si="72"/>
        <v>102613.92780026783</v>
      </c>
      <c r="N104" s="473">
        <f t="shared" si="72"/>
        <v>104402.41292797742</v>
      </c>
      <c r="O104" s="474">
        <f t="shared" si="72"/>
        <v>109613.28715046737</v>
      </c>
      <c r="Q104" s="323"/>
      <c r="R104" s="328"/>
      <c r="S104" s="325"/>
      <c r="T104" s="325"/>
    </row>
    <row r="105" spans="2:20" ht="24" customHeight="1" outlineLevel="1" x14ac:dyDescent="0.2">
      <c r="B105" s="337" t="s">
        <v>169</v>
      </c>
      <c r="C105" s="422">
        <f t="shared" ref="C105:O105" si="73">C21</f>
        <v>3835</v>
      </c>
      <c r="D105" s="422">
        <f t="shared" si="73"/>
        <v>10010</v>
      </c>
      <c r="E105" s="422">
        <f t="shared" si="73"/>
        <v>8775</v>
      </c>
      <c r="F105" s="317">
        <f t="shared" si="73"/>
        <v>8494.7900000000009</v>
      </c>
      <c r="G105" s="317">
        <f t="shared" si="73"/>
        <v>7631.2003892500006</v>
      </c>
      <c r="H105" s="317">
        <f t="shared" si="73"/>
        <v>6777.1064589825</v>
      </c>
      <c r="I105" s="317">
        <f t="shared" si="73"/>
        <v>5959.2454553667667</v>
      </c>
      <c r="J105" s="317">
        <f t="shared" si="73"/>
        <v>5101.1757234283286</v>
      </c>
      <c r="K105" s="317">
        <f t="shared" si="73"/>
        <v>4627.046599313464</v>
      </c>
      <c r="L105" s="317">
        <f t="shared" si="73"/>
        <v>3594.7866553364502</v>
      </c>
      <c r="M105" s="317">
        <f t="shared" si="73"/>
        <v>3230.3798415761134</v>
      </c>
      <c r="N105" s="317">
        <f t="shared" si="73"/>
        <v>3647.8759203660611</v>
      </c>
      <c r="O105" s="338">
        <f t="shared" si="73"/>
        <v>4050.0421253914687</v>
      </c>
      <c r="Q105" s="323"/>
      <c r="R105" s="328"/>
      <c r="S105" s="325"/>
      <c r="T105" s="325"/>
    </row>
    <row r="106" spans="2:20" ht="24" customHeight="1" x14ac:dyDescent="0.2">
      <c r="B106" s="337" t="s">
        <v>171</v>
      </c>
      <c r="C106" s="317">
        <f>R126</f>
        <v>2171</v>
      </c>
      <c r="D106" s="317">
        <f>S126</f>
        <v>5741</v>
      </c>
      <c r="E106" s="317">
        <f>T126</f>
        <v>7568</v>
      </c>
      <c r="F106" s="317">
        <f t="shared" ref="F106:O106" si="74">F16</f>
        <v>8859.5300000000007</v>
      </c>
      <c r="G106" s="317">
        <f t="shared" si="74"/>
        <v>10879.273079999999</v>
      </c>
      <c r="H106" s="317">
        <f t="shared" si="74"/>
        <v>12242.506017599999</v>
      </c>
      <c r="I106" s="317">
        <f t="shared" si="74"/>
        <v>13959.621933119997</v>
      </c>
      <c r="J106" s="317">
        <f t="shared" si="74"/>
        <v>15473.2870107648</v>
      </c>
      <c r="K106" s="317">
        <f t="shared" si="74"/>
        <v>15814.50091620941</v>
      </c>
      <c r="L106" s="317">
        <f t="shared" si="74"/>
        <v>16984.489812154585</v>
      </c>
      <c r="M106" s="317">
        <f t="shared" si="74"/>
        <v>17011.224540762134</v>
      </c>
      <c r="N106" s="317">
        <f t="shared" si="74"/>
        <v>17813.810537127767</v>
      </c>
      <c r="O106" s="338">
        <f t="shared" si="74"/>
        <v>18578.371145604029</v>
      </c>
      <c r="Q106" s="323"/>
      <c r="R106" s="324"/>
      <c r="S106" s="325"/>
      <c r="T106" s="325"/>
    </row>
    <row r="107" spans="2:20" ht="24" customHeight="1" outlineLevel="1" x14ac:dyDescent="0.2">
      <c r="B107" s="337" t="s">
        <v>476</v>
      </c>
      <c r="C107" s="317">
        <f t="shared" ref="C107:O107" si="75">C22</f>
        <v>0</v>
      </c>
      <c r="D107" s="317">
        <f t="shared" si="75"/>
        <v>0</v>
      </c>
      <c r="E107" s="317">
        <f t="shared" si="75"/>
        <v>0</v>
      </c>
      <c r="F107" s="317">
        <f t="shared" si="75"/>
        <v>0</v>
      </c>
      <c r="G107" s="317">
        <f t="shared" si="75"/>
        <v>0</v>
      </c>
      <c r="H107" s="317">
        <f t="shared" si="75"/>
        <v>0</v>
      </c>
      <c r="I107" s="317">
        <f t="shared" si="75"/>
        <v>0</v>
      </c>
      <c r="J107" s="317">
        <f t="shared" si="75"/>
        <v>0</v>
      </c>
      <c r="K107" s="317">
        <f t="shared" si="75"/>
        <v>0</v>
      </c>
      <c r="L107" s="317">
        <f t="shared" si="75"/>
        <v>0</v>
      </c>
      <c r="M107" s="317">
        <f t="shared" si="75"/>
        <v>0</v>
      </c>
      <c r="N107" s="317">
        <f t="shared" si="75"/>
        <v>0</v>
      </c>
      <c r="O107" s="338">
        <f t="shared" si="75"/>
        <v>0</v>
      </c>
      <c r="Q107" s="330"/>
      <c r="R107" s="324"/>
      <c r="S107" s="331"/>
      <c r="T107" s="325"/>
    </row>
    <row r="108" spans="2:20" ht="24" customHeight="1" outlineLevel="1" x14ac:dyDescent="0.2">
      <c r="B108" s="337" t="s">
        <v>469</v>
      </c>
      <c r="C108" s="419">
        <f>-501+9+132</f>
        <v>-360</v>
      </c>
      <c r="D108" s="419">
        <f>1965+157+404+427</f>
        <v>2953</v>
      </c>
      <c r="E108" s="419">
        <f>-4008+138+94+344</f>
        <v>-3432</v>
      </c>
      <c r="F108" s="317"/>
      <c r="G108" s="317"/>
      <c r="H108" s="317"/>
      <c r="I108" s="317"/>
      <c r="J108" s="317"/>
      <c r="K108" s="317"/>
      <c r="L108" s="317"/>
      <c r="M108" s="317"/>
      <c r="N108" s="317"/>
      <c r="O108" s="338"/>
      <c r="Q108" s="330"/>
      <c r="R108" s="330"/>
      <c r="S108" s="330"/>
      <c r="T108" s="332"/>
    </row>
    <row r="109" spans="2:20" ht="24" customHeight="1" outlineLevel="1" x14ac:dyDescent="0.2">
      <c r="B109" s="337" t="s">
        <v>173</v>
      </c>
      <c r="C109" s="419"/>
      <c r="D109" s="419"/>
      <c r="E109" s="419"/>
      <c r="F109" s="317"/>
      <c r="G109" s="317"/>
      <c r="H109" s="317"/>
      <c r="I109" s="317"/>
      <c r="J109" s="317"/>
      <c r="K109" s="317"/>
      <c r="L109" s="317"/>
      <c r="M109" s="317"/>
      <c r="N109" s="317"/>
      <c r="O109" s="338"/>
      <c r="Q109" s="330"/>
      <c r="R109" s="330"/>
      <c r="S109" s="330"/>
      <c r="T109" s="332"/>
    </row>
    <row r="110" spans="2:20" ht="24" customHeight="1" outlineLevel="1" x14ac:dyDescent="0.2">
      <c r="B110" s="356" t="s">
        <v>174</v>
      </c>
      <c r="C110" s="419">
        <v>-187</v>
      </c>
      <c r="D110" s="419">
        <v>2327</v>
      </c>
      <c r="E110" s="419">
        <v>-2717</v>
      </c>
      <c r="F110" s="473">
        <f>-(F146-E146)</f>
        <v>-1350.4397260273981</v>
      </c>
      <c r="G110" s="473">
        <f t="shared" ref="G110:O110" si="76">-(G146-F146)</f>
        <v>-2485.8020273972579</v>
      </c>
      <c r="H110" s="473">
        <f t="shared" si="76"/>
        <v>-2062.5241709589063</v>
      </c>
      <c r="I110" s="473">
        <f t="shared" si="76"/>
        <v>-1829.4994533698591</v>
      </c>
      <c r="J110" s="473">
        <f t="shared" si="76"/>
        <v>-1612.7329594389084</v>
      </c>
      <c r="K110" s="473">
        <f t="shared" si="76"/>
        <v>-1354.6956859286765</v>
      </c>
      <c r="L110" s="473">
        <f t="shared" si="76"/>
        <v>-1319.8907770533842</v>
      </c>
      <c r="M110" s="473">
        <f t="shared" si="76"/>
        <v>-1229.5816014240554</v>
      </c>
      <c r="N110" s="473">
        <f t="shared" si="76"/>
        <v>-962.00376276702809</v>
      </c>
      <c r="O110" s="474">
        <f t="shared" si="76"/>
        <v>-916.42538687222986</v>
      </c>
    </row>
    <row r="111" spans="2:20" ht="24" customHeight="1" outlineLevel="1" x14ac:dyDescent="0.2">
      <c r="B111" s="356" t="s">
        <v>175</v>
      </c>
      <c r="C111" s="419">
        <v>27</v>
      </c>
      <c r="D111" s="419">
        <v>150</v>
      </c>
      <c r="E111" s="419">
        <v>-510</v>
      </c>
      <c r="F111" s="317">
        <f>-(F147-E147)</f>
        <v>-6114.4406849315092</v>
      </c>
      <c r="G111" s="317">
        <f t="shared" ref="G111:O111" si="77">-(G147-F147)</f>
        <v>-2808.0718520547925</v>
      </c>
      <c r="H111" s="317">
        <f t="shared" si="77"/>
        <v>-2295.7739368767106</v>
      </c>
      <c r="I111" s="317">
        <f t="shared" si="77"/>
        <v>-2036.7315198246579</v>
      </c>
      <c r="J111" s="317">
        <f t="shared" si="77"/>
        <v>-1901.075384883552</v>
      </c>
      <c r="K111" s="317">
        <f t="shared" si="77"/>
        <v>-1507.5132979883456</v>
      </c>
      <c r="L111" s="317">
        <f t="shared" si="77"/>
        <v>-1464.0737258636509</v>
      </c>
      <c r="M111" s="317">
        <f t="shared" si="77"/>
        <v>-1450.2622498750134</v>
      </c>
      <c r="N111" s="317">
        <f t="shared" si="77"/>
        <v>-1144.1050647220545</v>
      </c>
      <c r="O111" s="338">
        <f t="shared" si="77"/>
        <v>-1096.0642181983785</v>
      </c>
    </row>
    <row r="112" spans="2:20" ht="24" customHeight="1" outlineLevel="1" x14ac:dyDescent="0.2">
      <c r="B112" s="356" t="s">
        <v>176</v>
      </c>
      <c r="C112" s="419">
        <v>209</v>
      </c>
      <c r="D112" s="419">
        <v>121</v>
      </c>
      <c r="E112" s="419">
        <v>-118</v>
      </c>
      <c r="F112" s="317">
        <f>(F149-E149)</f>
        <v>1123.0210191780825</v>
      </c>
      <c r="G112" s="317">
        <f t="shared" ref="G112:O112" si="78">(G149-F149)</f>
        <v>898.5829926575334</v>
      </c>
      <c r="H112" s="317">
        <f t="shared" si="78"/>
        <v>734.64765980054835</v>
      </c>
      <c r="I112" s="317">
        <f t="shared" si="78"/>
        <v>651.75408634388987</v>
      </c>
      <c r="J112" s="317">
        <f t="shared" si="78"/>
        <v>608.34412316273665</v>
      </c>
      <c r="K112" s="317">
        <f t="shared" si="78"/>
        <v>482.40425535627037</v>
      </c>
      <c r="L112" s="317">
        <f t="shared" si="78"/>
        <v>468.50359227636909</v>
      </c>
      <c r="M112" s="317">
        <f t="shared" si="78"/>
        <v>464.08391996000501</v>
      </c>
      <c r="N112" s="317">
        <f t="shared" si="78"/>
        <v>366.11362071105668</v>
      </c>
      <c r="O112" s="338">
        <f t="shared" si="78"/>
        <v>350.74054982348116</v>
      </c>
    </row>
    <row r="113" spans="2:20" ht="24" customHeight="1" outlineLevel="1" x14ac:dyDescent="0.2">
      <c r="B113" s="356" t="s">
        <v>177</v>
      </c>
      <c r="C113" s="419">
        <v>-279</v>
      </c>
      <c r="D113" s="419">
        <v>78</v>
      </c>
      <c r="E113" s="419">
        <v>300</v>
      </c>
      <c r="F113" s="317">
        <f>(F150-E150)</f>
        <v>732.62819000000036</v>
      </c>
      <c r="G113" s="317">
        <f t="shared" ref="G113:O113" si="79">(G150-F150)</f>
        <v>837.32465719999936</v>
      </c>
      <c r="H113" s="317">
        <f t="shared" si="79"/>
        <v>694.74653467200051</v>
      </c>
      <c r="I113" s="317">
        <f t="shared" si="79"/>
        <v>616.25382301439913</v>
      </c>
      <c r="J113" s="317">
        <f t="shared" si="79"/>
        <v>543.23757786585702</v>
      </c>
      <c r="K113" s="317">
        <f t="shared" si="79"/>
        <v>456.31956540731881</v>
      </c>
      <c r="L113" s="317">
        <f t="shared" si="79"/>
        <v>444.59578045916805</v>
      </c>
      <c r="M113" s="317">
        <f t="shared" si="79"/>
        <v>414.17577971396804</v>
      </c>
      <c r="N113" s="317">
        <f t="shared" si="79"/>
        <v>324.04409603262502</v>
      </c>
      <c r="O113" s="338">
        <f t="shared" si="79"/>
        <v>308.69134567229048</v>
      </c>
    </row>
    <row r="114" spans="2:20" ht="24" customHeight="1" outlineLevel="1" x14ac:dyDescent="0.2">
      <c r="B114" s="356" t="s">
        <v>178</v>
      </c>
      <c r="C114" s="419">
        <f>-628</f>
        <v>-628</v>
      </c>
      <c r="D114" s="419">
        <v>-5323</v>
      </c>
      <c r="E114" s="419">
        <v>-1837</v>
      </c>
      <c r="F114" s="317">
        <f>-(F148-E148)+(F151-E151)</f>
        <v>2982.72739</v>
      </c>
      <c r="G114" s="317">
        <f t="shared" ref="G114:O114" si="80">-(G148-F148)+(G151-F151)</f>
        <v>2496.4199532000021</v>
      </c>
      <c r="H114" s="317">
        <f t="shared" si="80"/>
        <v>2071.3340956319989</v>
      </c>
      <c r="I114" s="317">
        <f t="shared" si="80"/>
        <v>1837.3140296063975</v>
      </c>
      <c r="J114" s="317">
        <f t="shared" si="80"/>
        <v>1619.6216330799398</v>
      </c>
      <c r="K114" s="317">
        <f t="shared" si="80"/>
        <v>1360.4821717871473</v>
      </c>
      <c r="L114" s="317">
        <f t="shared" si="80"/>
        <v>1325.528596229653</v>
      </c>
      <c r="M114" s="317">
        <f t="shared" si="80"/>
        <v>1234.8336714072793</v>
      </c>
      <c r="N114" s="317">
        <f t="shared" si="80"/>
        <v>966.11289312513327</v>
      </c>
      <c r="O114" s="338">
        <f t="shared" si="80"/>
        <v>920.33983245330091</v>
      </c>
      <c r="Q114" s="317"/>
    </row>
    <row r="115" spans="2:20" ht="24" customHeight="1" outlineLevel="1" x14ac:dyDescent="0.35">
      <c r="B115" s="475" t="s">
        <v>179</v>
      </c>
      <c r="C115" s="424">
        <v>-785</v>
      </c>
      <c r="D115" s="424">
        <v>-1990</v>
      </c>
      <c r="E115" s="424">
        <v>-3618</v>
      </c>
      <c r="F115" s="380">
        <f t="shared" ref="F115:O115" si="81">-F212+F219</f>
        <v>0</v>
      </c>
      <c r="G115" s="380">
        <f t="shared" si="81"/>
        <v>0</v>
      </c>
      <c r="H115" s="380">
        <f t="shared" si="81"/>
        <v>0</v>
      </c>
      <c r="I115" s="380">
        <f t="shared" si="81"/>
        <v>0</v>
      </c>
      <c r="J115" s="380">
        <f t="shared" si="81"/>
        <v>0</v>
      </c>
      <c r="K115" s="380">
        <f t="shared" si="81"/>
        <v>0</v>
      </c>
      <c r="L115" s="380">
        <f t="shared" si="81"/>
        <v>0</v>
      </c>
      <c r="M115" s="380">
        <f t="shared" si="81"/>
        <v>0</v>
      </c>
      <c r="N115" s="380">
        <f t="shared" si="81"/>
        <v>0</v>
      </c>
      <c r="O115" s="405">
        <f t="shared" si="81"/>
        <v>0</v>
      </c>
      <c r="Q115" s="317"/>
    </row>
    <row r="116" spans="2:20" ht="24" customHeight="1" outlineLevel="1" x14ac:dyDescent="0.2">
      <c r="B116" s="511" t="s">
        <v>180</v>
      </c>
      <c r="C116" s="317">
        <f t="shared" ref="C116:O116" si="82">SUM(C104:C115)</f>
        <v>18085</v>
      </c>
      <c r="D116" s="317">
        <f t="shared" si="82"/>
        <v>19962</v>
      </c>
      <c r="E116" s="317">
        <f t="shared" si="82"/>
        <v>27537</v>
      </c>
      <c r="F116" s="317">
        <f t="shared" si="82"/>
        <v>44184.073508844172</v>
      </c>
      <c r="G116" s="317">
        <f t="shared" si="82"/>
        <v>59227.776191913727</v>
      </c>
      <c r="H116" s="317">
        <f>SUM(H104:H115)</f>
        <v>71937.714400960132</v>
      </c>
      <c r="I116" s="317">
        <f>SUM(I104:I115)</f>
        <v>83393.593983528961</v>
      </c>
      <c r="J116" s="317">
        <f t="shared" si="82"/>
        <v>93928.48018346609</v>
      </c>
      <c r="K116" s="317">
        <f t="shared" si="82"/>
        <v>102721.0637278278</v>
      </c>
      <c r="L116" s="317">
        <f t="shared" si="82"/>
        <v>111612.64483250845</v>
      </c>
      <c r="M116" s="317">
        <f t="shared" si="82"/>
        <v>122288.78170238827</v>
      </c>
      <c r="N116" s="317">
        <f t="shared" si="82"/>
        <v>125414.26116785097</v>
      </c>
      <c r="O116" s="338">
        <f t="shared" si="82"/>
        <v>131808.9825443413</v>
      </c>
    </row>
    <row r="117" spans="2:20" ht="24" customHeight="1" outlineLevel="1" x14ac:dyDescent="0.2">
      <c r="B117" s="337"/>
      <c r="O117" s="376"/>
    </row>
    <row r="118" spans="2:20" ht="24" customHeight="1" outlineLevel="1" x14ac:dyDescent="0.2">
      <c r="B118" s="337" t="s">
        <v>181</v>
      </c>
      <c r="C118" s="419">
        <v>-53</v>
      </c>
      <c r="D118" s="419">
        <v>-25978</v>
      </c>
      <c r="E118" s="419">
        <v>0</v>
      </c>
      <c r="F118" s="317">
        <f t="shared" ref="F118:O118" si="83">F199+F200-F201</f>
        <v>0</v>
      </c>
      <c r="G118" s="317">
        <f t="shared" si="83"/>
        <v>0</v>
      </c>
      <c r="H118" s="317">
        <f t="shared" si="83"/>
        <v>0</v>
      </c>
      <c r="I118" s="317">
        <f t="shared" si="83"/>
        <v>0</v>
      </c>
      <c r="J118" s="317">
        <f t="shared" si="83"/>
        <v>0</v>
      </c>
      <c r="K118" s="317">
        <f t="shared" si="83"/>
        <v>0</v>
      </c>
      <c r="L118" s="317">
        <f t="shared" si="83"/>
        <v>0</v>
      </c>
      <c r="M118" s="317">
        <f t="shared" si="83"/>
        <v>0</v>
      </c>
      <c r="N118" s="317">
        <f t="shared" si="83"/>
        <v>0</v>
      </c>
      <c r="O118" s="338">
        <f t="shared" si="83"/>
        <v>0</v>
      </c>
    </row>
    <row r="119" spans="2:20" ht="24" customHeight="1" outlineLevel="1" x14ac:dyDescent="0.2">
      <c r="B119" s="337" t="s">
        <v>182</v>
      </c>
      <c r="C119" s="419">
        <v>0</v>
      </c>
      <c r="D119" s="419">
        <v>3485</v>
      </c>
      <c r="E119" s="419">
        <v>300</v>
      </c>
      <c r="F119" s="317">
        <f t="shared" ref="F119:O119" si="84">-F202</f>
        <v>0</v>
      </c>
      <c r="G119" s="317">
        <f t="shared" si="84"/>
        <v>0</v>
      </c>
      <c r="H119" s="317">
        <f t="shared" si="84"/>
        <v>0</v>
      </c>
      <c r="I119" s="317">
        <f t="shared" si="84"/>
        <v>0</v>
      </c>
      <c r="J119" s="317">
        <f t="shared" si="84"/>
        <v>0</v>
      </c>
      <c r="K119" s="317">
        <f t="shared" si="84"/>
        <v>0</v>
      </c>
      <c r="L119" s="317">
        <f t="shared" si="84"/>
        <v>0</v>
      </c>
      <c r="M119" s="317">
        <f t="shared" si="84"/>
        <v>0</v>
      </c>
      <c r="N119" s="317">
        <f t="shared" si="84"/>
        <v>0</v>
      </c>
      <c r="O119" s="338">
        <f t="shared" si="84"/>
        <v>0</v>
      </c>
    </row>
    <row r="120" spans="2:20" ht="24" customHeight="1" outlineLevel="1" x14ac:dyDescent="0.2">
      <c r="B120" s="337" t="s">
        <v>183</v>
      </c>
      <c r="C120" s="419">
        <v>-452</v>
      </c>
      <c r="D120" s="419">
        <v>-548</v>
      </c>
      <c r="E120" s="419">
        <v>-623</v>
      </c>
      <c r="F120" s="317">
        <f>-F191</f>
        <v>-1328.9295</v>
      </c>
      <c r="G120" s="317">
        <f t="shared" ref="G120:O120" si="85">-G191</f>
        <v>-1717.7799599999998</v>
      </c>
      <c r="H120" s="317">
        <f t="shared" si="85"/>
        <v>-2040.4176696</v>
      </c>
      <c r="I120" s="317">
        <f t="shared" si="85"/>
        <v>-2326.6036555199998</v>
      </c>
      <c r="J120" s="317">
        <f t="shared" si="85"/>
        <v>-3438.5082246144002</v>
      </c>
      <c r="K120" s="317">
        <f t="shared" si="85"/>
        <v>-3721.0590391080959</v>
      </c>
      <c r="L120" s="317">
        <f t="shared" si="85"/>
        <v>-3996.3505440363733</v>
      </c>
      <c r="M120" s="317">
        <f t="shared" si="85"/>
        <v>-4252.8061351905335</v>
      </c>
      <c r="N120" s="317">
        <f t="shared" si="85"/>
        <v>-4453.4526342819418</v>
      </c>
      <c r="O120" s="338">
        <f t="shared" si="85"/>
        <v>-4644.5927864010073</v>
      </c>
    </row>
    <row r="121" spans="2:20" ht="24" customHeight="1" outlineLevel="1" x14ac:dyDescent="0.2">
      <c r="B121" s="337" t="s">
        <v>185</v>
      </c>
      <c r="C121" s="419"/>
      <c r="D121" s="419"/>
      <c r="E121" s="419"/>
      <c r="F121" s="317">
        <f t="shared" ref="F121:O121" si="86">-F41</f>
        <v>-420.827675</v>
      </c>
      <c r="G121" s="317">
        <f t="shared" si="86"/>
        <v>-578.31925320000005</v>
      </c>
      <c r="H121" s="317">
        <f t="shared" si="86"/>
        <v>-652.93365427200001</v>
      </c>
      <c r="I121" s="317">
        <f t="shared" si="86"/>
        <v>-729.00247872959994</v>
      </c>
      <c r="J121" s="317">
        <f t="shared" si="86"/>
        <v>-773.66435053824</v>
      </c>
      <c r="K121" s="317">
        <f t="shared" si="86"/>
        <v>-827.93563620155135</v>
      </c>
      <c r="L121" s="317">
        <f t="shared" si="86"/>
        <v>-859.21536696782005</v>
      </c>
      <c r="M121" s="317">
        <f t="shared" si="86"/>
        <v>-701.71301230643803</v>
      </c>
      <c r="N121" s="317">
        <f t="shared" si="86"/>
        <v>-946.35868478491273</v>
      </c>
      <c r="O121" s="338">
        <f t="shared" si="86"/>
        <v>-986.97596711021401</v>
      </c>
    </row>
    <row r="122" spans="2:20" ht="24" customHeight="1" outlineLevel="1" x14ac:dyDescent="0.2">
      <c r="B122" s="337" t="s">
        <v>470</v>
      </c>
      <c r="C122" s="419">
        <f>-66+228-346</f>
        <v>-184</v>
      </c>
      <c r="D122" s="419">
        <f>-10+156-175</f>
        <v>-29</v>
      </c>
      <c r="E122" s="419">
        <f>92+248-597</f>
        <v>-257</v>
      </c>
      <c r="F122" s="476"/>
      <c r="G122" s="476"/>
      <c r="H122" s="476"/>
      <c r="I122" s="476"/>
      <c r="J122" s="476"/>
      <c r="K122" s="476"/>
      <c r="L122" s="476"/>
      <c r="M122" s="476"/>
      <c r="N122" s="476"/>
      <c r="O122" s="477"/>
      <c r="Q122" s="542" t="s">
        <v>184</v>
      </c>
      <c r="R122" s="514"/>
      <c r="S122" s="514"/>
      <c r="T122" s="515"/>
    </row>
    <row r="123" spans="2:20" ht="24" customHeight="1" outlineLevel="1" x14ac:dyDescent="0.2">
      <c r="B123" s="511" t="s">
        <v>187</v>
      </c>
      <c r="C123" s="422">
        <f t="shared" ref="C123:O123" si="87">SUM(C118:C122)</f>
        <v>-689</v>
      </c>
      <c r="D123" s="422">
        <f t="shared" si="87"/>
        <v>-23070</v>
      </c>
      <c r="E123" s="422">
        <f t="shared" si="87"/>
        <v>-580</v>
      </c>
      <c r="F123" s="422">
        <f>SUM(F118:F122)</f>
        <v>-1749.757175</v>
      </c>
      <c r="G123" s="422">
        <f t="shared" si="87"/>
        <v>-2296.0992132000001</v>
      </c>
      <c r="H123" s="422">
        <f t="shared" si="87"/>
        <v>-2693.3513238719997</v>
      </c>
      <c r="I123" s="422">
        <f t="shared" si="87"/>
        <v>-3055.6061342495996</v>
      </c>
      <c r="J123" s="422">
        <f t="shared" si="87"/>
        <v>-4212.1725751526401</v>
      </c>
      <c r="K123" s="422">
        <f t="shared" si="87"/>
        <v>-4548.9946753096474</v>
      </c>
      <c r="L123" s="422">
        <f t="shared" si="87"/>
        <v>-4855.5659110041934</v>
      </c>
      <c r="M123" s="422">
        <f t="shared" si="87"/>
        <v>-4954.5191474969715</v>
      </c>
      <c r="N123" s="422">
        <f t="shared" si="87"/>
        <v>-5399.8113190668546</v>
      </c>
      <c r="O123" s="357">
        <f t="shared" si="87"/>
        <v>-5631.5687535112211</v>
      </c>
      <c r="Q123" s="454"/>
      <c r="R123" s="334" t="str">
        <f>C132</f>
        <v>2023A</v>
      </c>
      <c r="S123" s="334" t="str">
        <f>D132</f>
        <v>2024A</v>
      </c>
      <c r="T123" s="516" t="str">
        <f>E132</f>
        <v>2025A</v>
      </c>
    </row>
    <row r="124" spans="2:20" ht="24" customHeight="1" outlineLevel="1" x14ac:dyDescent="0.2">
      <c r="B124" s="337" t="s">
        <v>189</v>
      </c>
      <c r="C124" s="422">
        <f>-C135</f>
        <v>715</v>
      </c>
      <c r="D124" s="422">
        <f t="shared" ref="D124:O124" si="88">-D135</f>
        <v>479</v>
      </c>
      <c r="E124" s="422">
        <f t="shared" si="88"/>
        <v>-1068</v>
      </c>
      <c r="F124" s="422">
        <f t="shared" si="88"/>
        <v>-17766.187673531676</v>
      </c>
      <c r="G124" s="422">
        <f t="shared" si="88"/>
        <v>-15892.463989194017</v>
      </c>
      <c r="H124" s="422">
        <f t="shared" si="88"/>
        <v>-29011.013771191603</v>
      </c>
      <c r="I124" s="422">
        <f t="shared" si="88"/>
        <v>-25638.100965765188</v>
      </c>
      <c r="J124" s="422">
        <f t="shared" si="88"/>
        <v>-34992.131480190525</v>
      </c>
      <c r="K124" s="422">
        <f t="shared" si="88"/>
        <v>-36858.683490498996</v>
      </c>
      <c r="L124" s="422">
        <f t="shared" si="88"/>
        <v>-42313.79122707116</v>
      </c>
      <c r="M124" s="422">
        <f t="shared" si="88"/>
        <v>-46896.602264743968</v>
      </c>
      <c r="N124" s="422">
        <f t="shared" si="88"/>
        <v>-47587.122738396531</v>
      </c>
      <c r="O124" s="357">
        <f t="shared" si="88"/>
        <v>-52640.105858073017</v>
      </c>
      <c r="Q124" s="454" t="s">
        <v>186</v>
      </c>
      <c r="R124" s="317">
        <f>C16</f>
        <v>2171</v>
      </c>
      <c r="S124" s="317">
        <f>D16</f>
        <v>5670</v>
      </c>
      <c r="T124" s="420">
        <f>E16</f>
        <v>7568</v>
      </c>
    </row>
    <row r="125" spans="2:20" ht="24" customHeight="1" outlineLevel="1" x14ac:dyDescent="0.2">
      <c r="B125" s="337"/>
      <c r="C125" s="422"/>
      <c r="D125" s="422"/>
      <c r="E125" s="422"/>
      <c r="F125" s="422"/>
      <c r="G125" s="422"/>
      <c r="H125" s="422"/>
      <c r="I125" s="422"/>
      <c r="J125" s="422"/>
      <c r="K125" s="422"/>
      <c r="L125" s="422"/>
      <c r="M125" s="422"/>
      <c r="N125" s="422"/>
      <c r="O125" s="357"/>
      <c r="Q125" s="454" t="s">
        <v>188</v>
      </c>
      <c r="R125" s="317">
        <f>-C69</f>
        <v>0</v>
      </c>
      <c r="S125" s="317">
        <f>-D69</f>
        <v>71</v>
      </c>
      <c r="T125" s="420">
        <f>-E69</f>
        <v>0</v>
      </c>
    </row>
    <row r="126" spans="2:20" ht="24" customHeight="1" outlineLevel="1" thickBot="1" x14ac:dyDescent="0.4">
      <c r="B126" s="511" t="s">
        <v>191</v>
      </c>
      <c r="C126" s="424">
        <f>0-403-7645-5824-1861+122-12</f>
        <v>-15623</v>
      </c>
      <c r="D126" s="424">
        <f>39954-19608-9814-7176-5216+190-63</f>
        <v>-1733</v>
      </c>
      <c r="E126" s="424">
        <f>15666-18478-11142-2450-3860+221-84</f>
        <v>-20127</v>
      </c>
      <c r="F126" s="478">
        <f t="shared" ref="F126:O126" si="89">F223+F229+F234+F235+F241+F242+F258+F261+F243</f>
        <v>-24668.128660312497</v>
      </c>
      <c r="G126" s="478">
        <f t="shared" si="89"/>
        <v>-41039.212989519707</v>
      </c>
      <c r="H126" s="478">
        <f t="shared" si="89"/>
        <v>-40233.349305896525</v>
      </c>
      <c r="I126" s="478">
        <f t="shared" si="89"/>
        <v>-54699.886883514177</v>
      </c>
      <c r="J126" s="478">
        <f t="shared" si="89"/>
        <v>-54724.176128122926</v>
      </c>
      <c r="K126" s="478">
        <f t="shared" si="89"/>
        <v>-61313.385562019161</v>
      </c>
      <c r="L126" s="478">
        <f t="shared" si="89"/>
        <v>-64443.2876944331</v>
      </c>
      <c r="M126" s="478">
        <f t="shared" si="89"/>
        <v>-70437.660290147323</v>
      </c>
      <c r="N126" s="478">
        <f t="shared" si="89"/>
        <v>-72427.327110387589</v>
      </c>
      <c r="O126" s="479">
        <f t="shared" si="89"/>
        <v>-73537.307932757059</v>
      </c>
      <c r="Q126" s="496" t="s">
        <v>190</v>
      </c>
      <c r="R126" s="460">
        <f>SUM(R124:R125)</f>
        <v>2171</v>
      </c>
      <c r="S126" s="460">
        <f t="shared" ref="S126:T126" si="90">SUM(S124:S125)</f>
        <v>5741</v>
      </c>
      <c r="T126" s="462">
        <f t="shared" si="90"/>
        <v>7568</v>
      </c>
    </row>
    <row r="127" spans="2:20" ht="24" customHeight="1" outlineLevel="1" thickBot="1" x14ac:dyDescent="0.25">
      <c r="B127" s="541" t="s">
        <v>445</v>
      </c>
      <c r="C127" s="335">
        <f t="shared" ref="C127:O127" si="91">C116+C123+C126+C124</f>
        <v>2488</v>
      </c>
      <c r="D127" s="335">
        <f t="shared" si="91"/>
        <v>-4362</v>
      </c>
      <c r="E127" s="335">
        <f t="shared" si="91"/>
        <v>5762</v>
      </c>
      <c r="F127" s="335">
        <f>F116+F123+F126+F124</f>
        <v>0</v>
      </c>
      <c r="G127" s="335">
        <f t="shared" si="91"/>
        <v>0</v>
      </c>
      <c r="H127" s="335">
        <f t="shared" si="91"/>
        <v>0</v>
      </c>
      <c r="I127" s="335">
        <f t="shared" si="91"/>
        <v>0</v>
      </c>
      <c r="J127" s="335">
        <f t="shared" si="91"/>
        <v>0</v>
      </c>
      <c r="K127" s="335">
        <f t="shared" si="91"/>
        <v>0</v>
      </c>
      <c r="L127" s="335">
        <f t="shared" si="91"/>
        <v>0</v>
      </c>
      <c r="M127" s="335">
        <f t="shared" si="91"/>
        <v>0</v>
      </c>
      <c r="N127" s="335">
        <f t="shared" si="91"/>
        <v>0</v>
      </c>
      <c r="O127" s="336">
        <f t="shared" si="91"/>
        <v>0</v>
      </c>
    </row>
    <row r="128" spans="2:20" ht="24" customHeight="1" outlineLevel="1" x14ac:dyDescent="0.2">
      <c r="B128" s="337" t="s">
        <v>192</v>
      </c>
      <c r="C128" s="419">
        <v>10051</v>
      </c>
      <c r="D128" s="317">
        <f>C130</f>
        <v>12539</v>
      </c>
      <c r="E128" s="317">
        <f t="shared" ref="E128:O128" si="92">D130</f>
        <v>8177</v>
      </c>
      <c r="F128" s="317">
        <f t="shared" si="92"/>
        <v>13939</v>
      </c>
      <c r="G128" s="317">
        <f t="shared" si="92"/>
        <v>13939</v>
      </c>
      <c r="H128" s="317">
        <f t="shared" si="92"/>
        <v>13939</v>
      </c>
      <c r="I128" s="317">
        <f t="shared" si="92"/>
        <v>13939</v>
      </c>
      <c r="J128" s="317">
        <f t="shared" si="92"/>
        <v>13939</v>
      </c>
      <c r="K128" s="317">
        <f t="shared" si="92"/>
        <v>13939</v>
      </c>
      <c r="L128" s="317">
        <f t="shared" si="92"/>
        <v>13939</v>
      </c>
      <c r="M128" s="317">
        <f t="shared" si="92"/>
        <v>13939</v>
      </c>
      <c r="N128" s="317">
        <f t="shared" si="92"/>
        <v>13939</v>
      </c>
      <c r="O128" s="338">
        <f t="shared" si="92"/>
        <v>13939</v>
      </c>
    </row>
    <row r="129" spans="2:15" ht="24" customHeight="1" outlineLevel="1" x14ac:dyDescent="0.2">
      <c r="B129" s="337" t="s">
        <v>446</v>
      </c>
      <c r="C129" s="419">
        <f>C127</f>
        <v>2488</v>
      </c>
      <c r="D129" s="419">
        <f t="shared" ref="D129:O129" si="93">D127</f>
        <v>-4362</v>
      </c>
      <c r="E129" s="419">
        <f t="shared" si="93"/>
        <v>5762</v>
      </c>
      <c r="F129" s="419">
        <f t="shared" si="93"/>
        <v>0</v>
      </c>
      <c r="G129" s="419">
        <f t="shared" si="93"/>
        <v>0</v>
      </c>
      <c r="H129" s="419">
        <f t="shared" si="93"/>
        <v>0</v>
      </c>
      <c r="I129" s="419">
        <f t="shared" si="93"/>
        <v>0</v>
      </c>
      <c r="J129" s="419">
        <f t="shared" si="93"/>
        <v>0</v>
      </c>
      <c r="K129" s="419">
        <f t="shared" si="93"/>
        <v>0</v>
      </c>
      <c r="L129" s="419">
        <f t="shared" si="93"/>
        <v>0</v>
      </c>
      <c r="M129" s="419">
        <f t="shared" si="93"/>
        <v>0</v>
      </c>
      <c r="N129" s="419">
        <f t="shared" si="93"/>
        <v>0</v>
      </c>
      <c r="O129" s="339">
        <f t="shared" si="93"/>
        <v>0</v>
      </c>
    </row>
    <row r="130" spans="2:15" ht="24" customHeight="1" outlineLevel="1" thickBot="1" x14ac:dyDescent="0.25">
      <c r="B130" s="340" t="s">
        <v>193</v>
      </c>
      <c r="C130" s="341">
        <f>SUM(C128:C129)</f>
        <v>12539</v>
      </c>
      <c r="D130" s="341">
        <f t="shared" ref="D130:O130" si="94">SUM(D128:D129)</f>
        <v>8177</v>
      </c>
      <c r="E130" s="341">
        <f t="shared" si="94"/>
        <v>13939</v>
      </c>
      <c r="F130" s="341">
        <f t="shared" si="94"/>
        <v>13939</v>
      </c>
      <c r="G130" s="341">
        <f t="shared" si="94"/>
        <v>13939</v>
      </c>
      <c r="H130" s="341">
        <f t="shared" si="94"/>
        <v>13939</v>
      </c>
      <c r="I130" s="341">
        <f t="shared" si="94"/>
        <v>13939</v>
      </c>
      <c r="J130" s="341">
        <f t="shared" si="94"/>
        <v>13939</v>
      </c>
      <c r="K130" s="341">
        <f t="shared" si="94"/>
        <v>13939</v>
      </c>
      <c r="L130" s="341">
        <f t="shared" si="94"/>
        <v>13939</v>
      </c>
      <c r="M130" s="341">
        <f t="shared" si="94"/>
        <v>13939</v>
      </c>
      <c r="N130" s="341">
        <f t="shared" si="94"/>
        <v>13939</v>
      </c>
      <c r="O130" s="342">
        <f t="shared" si="94"/>
        <v>13939</v>
      </c>
    </row>
    <row r="131" spans="2:15" ht="24" customHeight="1" outlineLevel="1" thickBot="1" x14ac:dyDescent="0.25"/>
    <row r="132" spans="2:15" ht="24" customHeight="1" outlineLevel="1" x14ac:dyDescent="0.2">
      <c r="B132" s="364" t="s">
        <v>194</v>
      </c>
      <c r="C132" s="365" t="str">
        <f>C$4</f>
        <v>2023A</v>
      </c>
      <c r="D132" s="365" t="str">
        <f t="shared" ref="D132:O132" si="95">D$4</f>
        <v>2024A</v>
      </c>
      <c r="E132" s="365" t="str">
        <f t="shared" si="95"/>
        <v>2025A</v>
      </c>
      <c r="F132" s="365" t="str">
        <f t="shared" si="95"/>
        <v>2026P</v>
      </c>
      <c r="G132" s="365" t="str">
        <f t="shared" si="95"/>
        <v>2027P</v>
      </c>
      <c r="H132" s="365" t="str">
        <f t="shared" si="95"/>
        <v>2028P</v>
      </c>
      <c r="I132" s="365" t="str">
        <f t="shared" si="95"/>
        <v xml:space="preserve">2029P </v>
      </c>
      <c r="J132" s="365" t="str">
        <f t="shared" si="95"/>
        <v>2030P</v>
      </c>
      <c r="K132" s="365" t="str">
        <f t="shared" si="95"/>
        <v>2031P</v>
      </c>
      <c r="L132" s="365" t="str">
        <f t="shared" si="95"/>
        <v>2032P</v>
      </c>
      <c r="M132" s="365" t="str">
        <f t="shared" si="95"/>
        <v xml:space="preserve">2033P </v>
      </c>
      <c r="N132" s="365" t="str">
        <f t="shared" si="95"/>
        <v>2034P</v>
      </c>
      <c r="O132" s="366" t="str">
        <f t="shared" si="95"/>
        <v>2035P</v>
      </c>
    </row>
    <row r="133" spans="2:15" ht="24" customHeight="1" outlineLevel="1" x14ac:dyDescent="0.2">
      <c r="B133" s="538" t="s">
        <v>125</v>
      </c>
      <c r="C133" s="468" t="str">
        <f>C$4</f>
        <v>2023A</v>
      </c>
      <c r="D133" s="468" t="str">
        <f t="shared" ref="D133:O133" si="96">D$4</f>
        <v>2024A</v>
      </c>
      <c r="E133" s="468" t="str">
        <f t="shared" si="96"/>
        <v>2025A</v>
      </c>
      <c r="F133" s="468" t="str">
        <f t="shared" si="96"/>
        <v>2026P</v>
      </c>
      <c r="G133" s="468" t="str">
        <f t="shared" si="96"/>
        <v>2027P</v>
      </c>
      <c r="H133" s="468" t="str">
        <f t="shared" si="96"/>
        <v>2028P</v>
      </c>
      <c r="I133" s="468" t="str">
        <f t="shared" si="96"/>
        <v xml:space="preserve">2029P </v>
      </c>
      <c r="J133" s="468" t="str">
        <f t="shared" si="96"/>
        <v>2030P</v>
      </c>
      <c r="K133" s="468" t="str">
        <f t="shared" si="96"/>
        <v>2031P</v>
      </c>
      <c r="L133" s="468" t="str">
        <f t="shared" si="96"/>
        <v>2032P</v>
      </c>
      <c r="M133" s="468" t="str">
        <f t="shared" si="96"/>
        <v xml:space="preserve">2033P </v>
      </c>
      <c r="N133" s="468" t="str">
        <f t="shared" si="96"/>
        <v>2034P</v>
      </c>
      <c r="O133" s="469" t="str">
        <f t="shared" si="96"/>
        <v>2035P</v>
      </c>
    </row>
    <row r="134" spans="2:15" ht="24" customHeight="1" outlineLevel="1" x14ac:dyDescent="0.2">
      <c r="B134" s="356" t="s">
        <v>195</v>
      </c>
      <c r="C134" s="419">
        <v>2365</v>
      </c>
      <c r="D134" s="317">
        <f>C136</f>
        <v>1650</v>
      </c>
      <c r="E134" s="317">
        <f>D136</f>
        <v>1171</v>
      </c>
      <c r="F134" s="317">
        <f t="shared" ref="F134:O134" si="97">E136</f>
        <v>2239</v>
      </c>
      <c r="G134" s="317">
        <f>F136</f>
        <v>20005.187673531676</v>
      </c>
      <c r="H134" s="317">
        <f t="shared" si="97"/>
        <v>35897.651662725693</v>
      </c>
      <c r="I134" s="317">
        <f t="shared" si="97"/>
        <v>64908.665433917296</v>
      </c>
      <c r="J134" s="317">
        <f t="shared" si="97"/>
        <v>90546.766399682485</v>
      </c>
      <c r="K134" s="317">
        <f t="shared" si="97"/>
        <v>125538.89787987301</v>
      </c>
      <c r="L134" s="317">
        <f t="shared" si="97"/>
        <v>162397.58137037201</v>
      </c>
      <c r="M134" s="317">
        <f t="shared" si="97"/>
        <v>204711.37259744317</v>
      </c>
      <c r="N134" s="317">
        <f t="shared" si="97"/>
        <v>251607.97486218714</v>
      </c>
      <c r="O134" s="338">
        <f t="shared" si="97"/>
        <v>299195.09760058369</v>
      </c>
    </row>
    <row r="135" spans="2:15" ht="24" customHeight="1" x14ac:dyDescent="0.35">
      <c r="B135" s="356" t="s">
        <v>196</v>
      </c>
      <c r="C135" s="380">
        <f>C136-C134</f>
        <v>-715</v>
      </c>
      <c r="D135" s="380">
        <f>D136-D134</f>
        <v>-479</v>
      </c>
      <c r="E135" s="380">
        <f>E136-E134</f>
        <v>1068</v>
      </c>
      <c r="F135" s="380">
        <f>IF(AND(F139&gt;F138,F141&gt;0),F141,0)</f>
        <v>17766.187673531676</v>
      </c>
      <c r="G135" s="380">
        <f t="shared" ref="G135:O135" si="98">IF(AND(G139&gt;G138,G141&gt;0),G141,0)</f>
        <v>15892.463989194017</v>
      </c>
      <c r="H135" s="380">
        <f t="shared" si="98"/>
        <v>29011.013771191603</v>
      </c>
      <c r="I135" s="380">
        <f t="shared" si="98"/>
        <v>25638.100965765188</v>
      </c>
      <c r="J135" s="380">
        <f t="shared" si="98"/>
        <v>34992.131480190525</v>
      </c>
      <c r="K135" s="380">
        <f t="shared" si="98"/>
        <v>36858.683490498996</v>
      </c>
      <c r="L135" s="380">
        <f t="shared" si="98"/>
        <v>42313.79122707116</v>
      </c>
      <c r="M135" s="380">
        <f t="shared" si="98"/>
        <v>46896.602264743968</v>
      </c>
      <c r="N135" s="380">
        <f t="shared" si="98"/>
        <v>47587.122738396531</v>
      </c>
      <c r="O135" s="405">
        <f t="shared" si="98"/>
        <v>52640.105858073017</v>
      </c>
    </row>
    <row r="136" spans="2:15" ht="24" customHeight="1" x14ac:dyDescent="0.2">
      <c r="B136" s="356" t="s">
        <v>197</v>
      </c>
      <c r="C136" s="419">
        <v>1650</v>
      </c>
      <c r="D136" s="419">
        <v>1171</v>
      </c>
      <c r="E136" s="419">
        <v>2239</v>
      </c>
      <c r="F136" s="317">
        <f>F135+F134</f>
        <v>20005.187673531676</v>
      </c>
      <c r="G136" s="317">
        <f t="shared" ref="G136:O136" si="99">G135+G134</f>
        <v>35897.651662725693</v>
      </c>
      <c r="H136" s="317">
        <f t="shared" si="99"/>
        <v>64908.665433917296</v>
      </c>
      <c r="I136" s="317">
        <f t="shared" si="99"/>
        <v>90546.766399682485</v>
      </c>
      <c r="J136" s="317">
        <f t="shared" si="99"/>
        <v>125538.89787987301</v>
      </c>
      <c r="K136" s="317">
        <f t="shared" si="99"/>
        <v>162397.58137037201</v>
      </c>
      <c r="L136" s="317">
        <f t="shared" si="99"/>
        <v>204711.37259744317</v>
      </c>
      <c r="M136" s="317">
        <f t="shared" si="99"/>
        <v>251607.97486218714</v>
      </c>
      <c r="N136" s="317">
        <f t="shared" si="99"/>
        <v>299195.09760058369</v>
      </c>
      <c r="O136" s="338">
        <f t="shared" si="99"/>
        <v>351835.20345865667</v>
      </c>
    </row>
    <row r="137" spans="2:15" ht="24" customHeight="1" outlineLevel="1" x14ac:dyDescent="0.2">
      <c r="B137" s="356"/>
      <c r="D137" s="419"/>
      <c r="E137" s="419"/>
      <c r="F137" s="419"/>
      <c r="G137" s="419"/>
      <c r="H137" s="419"/>
      <c r="I137" s="419"/>
      <c r="J137" s="419"/>
      <c r="K137" s="419"/>
      <c r="L137" s="419"/>
      <c r="M137" s="419"/>
      <c r="N137" s="419"/>
      <c r="O137" s="339"/>
    </row>
    <row r="138" spans="2:15" ht="24" customHeight="1" outlineLevel="1" x14ac:dyDescent="0.2">
      <c r="B138" s="356" t="s">
        <v>198</v>
      </c>
      <c r="C138" s="419"/>
      <c r="D138" s="419"/>
      <c r="E138" s="419"/>
      <c r="F138" s="343">
        <v>10000</v>
      </c>
      <c r="G138" s="343">
        <v>10000</v>
      </c>
      <c r="H138" s="343">
        <v>10000</v>
      </c>
      <c r="I138" s="343">
        <v>10000</v>
      </c>
      <c r="J138" s="343">
        <v>10000</v>
      </c>
      <c r="K138" s="343">
        <v>10000</v>
      </c>
      <c r="L138" s="343">
        <v>10000</v>
      </c>
      <c r="M138" s="343">
        <v>10000</v>
      </c>
      <c r="N138" s="343">
        <v>10000</v>
      </c>
      <c r="O138" s="438">
        <v>10000</v>
      </c>
    </row>
    <row r="139" spans="2:15" ht="24" customHeight="1" outlineLevel="1" x14ac:dyDescent="0.2">
      <c r="B139" s="356" t="s">
        <v>192</v>
      </c>
      <c r="C139" s="317">
        <f>C128</f>
        <v>10051</v>
      </c>
      <c r="D139" s="317">
        <f t="shared" ref="D139:O139" si="100">D128</f>
        <v>12539</v>
      </c>
      <c r="E139" s="317">
        <f t="shared" si="100"/>
        <v>8177</v>
      </c>
      <c r="F139" s="317">
        <f t="shared" si="100"/>
        <v>13939</v>
      </c>
      <c r="G139" s="317">
        <f t="shared" si="100"/>
        <v>13939</v>
      </c>
      <c r="H139" s="317">
        <f t="shared" si="100"/>
        <v>13939</v>
      </c>
      <c r="I139" s="317">
        <f t="shared" si="100"/>
        <v>13939</v>
      </c>
      <c r="J139" s="317">
        <f t="shared" si="100"/>
        <v>13939</v>
      </c>
      <c r="K139" s="317">
        <f t="shared" si="100"/>
        <v>13939</v>
      </c>
      <c r="L139" s="317">
        <f t="shared" si="100"/>
        <v>13939</v>
      </c>
      <c r="M139" s="317">
        <f t="shared" si="100"/>
        <v>13939</v>
      </c>
      <c r="N139" s="317">
        <f t="shared" si="100"/>
        <v>13939</v>
      </c>
      <c r="O139" s="338">
        <f t="shared" si="100"/>
        <v>13939</v>
      </c>
    </row>
    <row r="140" spans="2:15" ht="24" customHeight="1" outlineLevel="1" x14ac:dyDescent="0.2">
      <c r="B140" s="356" t="s">
        <v>193</v>
      </c>
      <c r="C140" s="317">
        <f>C130</f>
        <v>12539</v>
      </c>
      <c r="D140" s="317">
        <f>D130</f>
        <v>8177</v>
      </c>
      <c r="E140" s="317">
        <f>E130</f>
        <v>13939</v>
      </c>
      <c r="F140" s="317">
        <f t="shared" ref="F140:O140" si="101">F130</f>
        <v>13939</v>
      </c>
      <c r="G140" s="317">
        <f t="shared" si="101"/>
        <v>13939</v>
      </c>
      <c r="H140" s="317">
        <f t="shared" si="101"/>
        <v>13939</v>
      </c>
      <c r="I140" s="317">
        <f t="shared" si="101"/>
        <v>13939</v>
      </c>
      <c r="J140" s="317">
        <f t="shared" si="101"/>
        <v>13939</v>
      </c>
      <c r="K140" s="317">
        <f t="shared" si="101"/>
        <v>13939</v>
      </c>
      <c r="L140" s="317">
        <f t="shared" si="101"/>
        <v>13939</v>
      </c>
      <c r="M140" s="317">
        <f t="shared" si="101"/>
        <v>13939</v>
      </c>
      <c r="N140" s="317">
        <f t="shared" si="101"/>
        <v>13939</v>
      </c>
      <c r="O140" s="338">
        <f t="shared" si="101"/>
        <v>13939</v>
      </c>
    </row>
    <row r="141" spans="2:15" ht="24" customHeight="1" outlineLevel="1" x14ac:dyDescent="0.2">
      <c r="B141" s="356" t="s">
        <v>199</v>
      </c>
      <c r="C141" s="317">
        <f>C116+C123+C126</f>
        <v>1773</v>
      </c>
      <c r="D141" s="317">
        <f t="shared" ref="D141:O141" si="102">D116+D123+D126</f>
        <v>-4841</v>
      </c>
      <c r="E141" s="317">
        <f t="shared" si="102"/>
        <v>6830</v>
      </c>
      <c r="F141" s="317">
        <f t="shared" si="102"/>
        <v>17766.187673531676</v>
      </c>
      <c r="G141" s="317">
        <f t="shared" si="102"/>
        <v>15892.463989194017</v>
      </c>
      <c r="H141" s="317">
        <f t="shared" si="102"/>
        <v>29011.013771191603</v>
      </c>
      <c r="I141" s="317">
        <f t="shared" si="102"/>
        <v>25638.100965765188</v>
      </c>
      <c r="J141" s="317">
        <f t="shared" si="102"/>
        <v>34992.131480190525</v>
      </c>
      <c r="K141" s="317">
        <f t="shared" si="102"/>
        <v>36858.683490498996</v>
      </c>
      <c r="L141" s="317">
        <f t="shared" si="102"/>
        <v>42313.79122707116</v>
      </c>
      <c r="M141" s="317">
        <f t="shared" si="102"/>
        <v>46896.602264743968</v>
      </c>
      <c r="N141" s="317">
        <f t="shared" si="102"/>
        <v>47587.122738396531</v>
      </c>
      <c r="O141" s="338">
        <f t="shared" si="102"/>
        <v>52640.105858073017</v>
      </c>
    </row>
    <row r="142" spans="2:15" ht="24" customHeight="1" outlineLevel="1" x14ac:dyDescent="0.2">
      <c r="B142" s="356" t="s">
        <v>200</v>
      </c>
      <c r="C142" s="317">
        <f>-C65</f>
        <v>535</v>
      </c>
      <c r="D142" s="317">
        <f>-D65</f>
        <v>461</v>
      </c>
      <c r="E142" s="317">
        <f>-E65</f>
        <v>347</v>
      </c>
      <c r="F142" s="317">
        <f>F134*F143</f>
        <v>93.814099999999996</v>
      </c>
      <c r="G142" s="317">
        <f t="shared" ref="G142:O142" si="103">G134*G143</f>
        <v>838.21736352097719</v>
      </c>
      <c r="H142" s="317">
        <f t="shared" si="103"/>
        <v>1504.1116046682066</v>
      </c>
      <c r="I142" s="317">
        <f t="shared" si="103"/>
        <v>2719.6730816811346</v>
      </c>
      <c r="J142" s="317">
        <f t="shared" si="103"/>
        <v>3793.9095121466962</v>
      </c>
      <c r="K142" s="317">
        <f t="shared" si="103"/>
        <v>5260.0798211666788</v>
      </c>
      <c r="L142" s="317">
        <f t="shared" si="103"/>
        <v>6804.4586594185866</v>
      </c>
      <c r="M142" s="317">
        <f t="shared" si="103"/>
        <v>8577.406511832869</v>
      </c>
      <c r="N142" s="317">
        <f t="shared" si="103"/>
        <v>10542.37414672564</v>
      </c>
      <c r="O142" s="338">
        <f t="shared" si="103"/>
        <v>12536.274589464456</v>
      </c>
    </row>
    <row r="143" spans="2:15" ht="24" customHeight="1" outlineLevel="1" thickBot="1" x14ac:dyDescent="0.25">
      <c r="B143" s="361" t="s">
        <v>201</v>
      </c>
      <c r="C143" s="470">
        <f>C142/C134</f>
        <v>0.22621564482029599</v>
      </c>
      <c r="D143" s="470">
        <f t="shared" ref="D143:E143" si="104">D142/D134</f>
        <v>0.27939393939393942</v>
      </c>
      <c r="E143" s="470">
        <f t="shared" si="104"/>
        <v>0.29632792485055509</v>
      </c>
      <c r="F143" s="471">
        <v>4.19E-2</v>
      </c>
      <c r="G143" s="471">
        <v>4.19E-2</v>
      </c>
      <c r="H143" s="471">
        <v>4.19E-2</v>
      </c>
      <c r="I143" s="471">
        <v>4.19E-2</v>
      </c>
      <c r="J143" s="471">
        <v>4.19E-2</v>
      </c>
      <c r="K143" s="471">
        <v>4.19E-2</v>
      </c>
      <c r="L143" s="471">
        <v>4.19E-2</v>
      </c>
      <c r="M143" s="471">
        <v>4.19E-2</v>
      </c>
      <c r="N143" s="471">
        <v>4.19E-2</v>
      </c>
      <c r="O143" s="472">
        <v>4.19E-2</v>
      </c>
    </row>
    <row r="144" spans="2:15" ht="24" customHeight="1" outlineLevel="1" x14ac:dyDescent="0.2">
      <c r="B144" s="316"/>
    </row>
    <row r="145" spans="2:20" ht="24" customHeight="1" outlineLevel="1" x14ac:dyDescent="0.2">
      <c r="B145" s="539" t="s">
        <v>202</v>
      </c>
      <c r="C145" s="443" t="str">
        <f>C$4</f>
        <v>2023A</v>
      </c>
      <c r="D145" s="443" t="str">
        <f t="shared" ref="D145:O145" si="105">D$4</f>
        <v>2024A</v>
      </c>
      <c r="E145" s="443" t="str">
        <f t="shared" si="105"/>
        <v>2025A</v>
      </c>
      <c r="F145" s="443" t="str">
        <f t="shared" si="105"/>
        <v>2026P</v>
      </c>
      <c r="G145" s="443" t="str">
        <f t="shared" si="105"/>
        <v>2027P</v>
      </c>
      <c r="H145" s="443" t="str">
        <f t="shared" si="105"/>
        <v>2028P</v>
      </c>
      <c r="I145" s="443" t="str">
        <f t="shared" si="105"/>
        <v xml:space="preserve">2029P </v>
      </c>
      <c r="J145" s="443" t="str">
        <f t="shared" si="105"/>
        <v>2030P</v>
      </c>
      <c r="K145" s="443" t="str">
        <f t="shared" si="105"/>
        <v>2031P</v>
      </c>
      <c r="L145" s="443" t="str">
        <f t="shared" si="105"/>
        <v>2032P</v>
      </c>
      <c r="M145" s="443" t="str">
        <f t="shared" si="105"/>
        <v xml:space="preserve">2033P </v>
      </c>
      <c r="N145" s="443" t="str">
        <f t="shared" si="105"/>
        <v>2034P</v>
      </c>
      <c r="O145" s="444" t="str">
        <f t="shared" si="105"/>
        <v>2035P</v>
      </c>
    </row>
    <row r="146" spans="2:20" ht="24" customHeight="1" outlineLevel="1" x14ac:dyDescent="0.2">
      <c r="B146" s="418" t="s">
        <v>204</v>
      </c>
      <c r="C146" s="419">
        <v>3154</v>
      </c>
      <c r="D146" s="419">
        <v>4416</v>
      </c>
      <c r="E146" s="419">
        <v>7145</v>
      </c>
      <c r="F146" s="317">
        <f t="shared" ref="F146:O146" si="106">F154*F13/365</f>
        <v>8495.4397260273981</v>
      </c>
      <c r="G146" s="317">
        <f t="shared" si="106"/>
        <v>10981.241753424656</v>
      </c>
      <c r="H146" s="317">
        <f t="shared" si="106"/>
        <v>13043.765924383562</v>
      </c>
      <c r="I146" s="317">
        <f t="shared" si="106"/>
        <v>14873.265377753421</v>
      </c>
      <c r="J146" s="317">
        <f t="shared" si="106"/>
        <v>16485.99833719233</v>
      </c>
      <c r="K146" s="317">
        <f t="shared" si="106"/>
        <v>17840.694023121006</v>
      </c>
      <c r="L146" s="317">
        <f t="shared" si="106"/>
        <v>19160.584800174391</v>
      </c>
      <c r="M146" s="317">
        <f t="shared" si="106"/>
        <v>20390.166401598446</v>
      </c>
      <c r="N146" s="317">
        <f t="shared" si="106"/>
        <v>21352.170164365474</v>
      </c>
      <c r="O146" s="420">
        <f t="shared" si="106"/>
        <v>22268.595551237704</v>
      </c>
    </row>
    <row r="147" spans="2:20" ht="24" customHeight="1" outlineLevel="1" x14ac:dyDescent="0.2">
      <c r="B147" s="418" t="s">
        <v>127</v>
      </c>
      <c r="C147" s="419">
        <v>1898</v>
      </c>
      <c r="D147" s="419">
        <v>1760</v>
      </c>
      <c r="E147" s="419">
        <v>2270</v>
      </c>
      <c r="F147" s="317">
        <f t="shared" ref="F147:O147" si="107">F155*F14/365</f>
        <v>8384.4406849315092</v>
      </c>
      <c r="G147" s="317">
        <f t="shared" si="107"/>
        <v>11192.512536986302</v>
      </c>
      <c r="H147" s="317">
        <f t="shared" si="107"/>
        <v>13488.286473863012</v>
      </c>
      <c r="I147" s="317">
        <f t="shared" si="107"/>
        <v>15525.01799368767</v>
      </c>
      <c r="J147" s="317">
        <f t="shared" si="107"/>
        <v>17426.093378571222</v>
      </c>
      <c r="K147" s="317">
        <f t="shared" si="107"/>
        <v>18933.606676559568</v>
      </c>
      <c r="L147" s="317">
        <f t="shared" si="107"/>
        <v>20397.680402423219</v>
      </c>
      <c r="M147" s="317">
        <f t="shared" si="107"/>
        <v>21847.942652298232</v>
      </c>
      <c r="N147" s="317">
        <f t="shared" si="107"/>
        <v>22992.047717020287</v>
      </c>
      <c r="O147" s="420">
        <f t="shared" si="107"/>
        <v>24088.111935218665</v>
      </c>
      <c r="Q147" s="542" t="s">
        <v>203</v>
      </c>
      <c r="R147" s="514"/>
      <c r="S147" s="514"/>
      <c r="T147" s="515"/>
    </row>
    <row r="148" spans="2:20" ht="24" customHeight="1" x14ac:dyDescent="0.2">
      <c r="B148" s="418" t="s">
        <v>206</v>
      </c>
      <c r="C148" s="419">
        <v>1606</v>
      </c>
      <c r="D148" s="419">
        <v>4071</v>
      </c>
      <c r="E148" s="419">
        <v>5980</v>
      </c>
      <c r="F148" s="317">
        <f t="shared" ref="F148:O148" si="108">F156*F13</f>
        <v>6378.8616000000002</v>
      </c>
      <c r="G148" s="317">
        <f t="shared" si="108"/>
        <v>8245.3438079999978</v>
      </c>
      <c r="H148" s="317">
        <f t="shared" si="108"/>
        <v>9794.0048140799991</v>
      </c>
      <c r="I148" s="317">
        <f t="shared" si="108"/>
        <v>11167.697546495998</v>
      </c>
      <c r="J148" s="317">
        <f t="shared" si="108"/>
        <v>12378.629608611838</v>
      </c>
      <c r="K148" s="317">
        <f t="shared" si="108"/>
        <v>13395.812540789144</v>
      </c>
      <c r="L148" s="317">
        <f t="shared" si="108"/>
        <v>14386.861958530943</v>
      </c>
      <c r="M148" s="317">
        <f t="shared" si="108"/>
        <v>15310.102086685918</v>
      </c>
      <c r="N148" s="317">
        <f t="shared" si="108"/>
        <v>16032.429483414988</v>
      </c>
      <c r="O148" s="420">
        <f t="shared" si="108"/>
        <v>16720.534031043622</v>
      </c>
      <c r="Q148" s="454"/>
      <c r="R148" s="334" t="str">
        <f>$C$145</f>
        <v>2023A</v>
      </c>
      <c r="S148" s="334" t="str">
        <f>$D$145</f>
        <v>2024A</v>
      </c>
      <c r="T148" s="516" t="str">
        <f>$E$145</f>
        <v>2025A</v>
      </c>
    </row>
    <row r="149" spans="2:20" ht="24" customHeight="1" outlineLevel="1" x14ac:dyDescent="0.2">
      <c r="B149" s="418" t="s">
        <v>208</v>
      </c>
      <c r="C149" s="419">
        <v>1210</v>
      </c>
      <c r="D149" s="419">
        <v>1662</v>
      </c>
      <c r="E149" s="419">
        <v>1560</v>
      </c>
      <c r="F149" s="317">
        <f t="shared" ref="F149:O149" si="109">F14*F157/365</f>
        <v>2683.0210191780825</v>
      </c>
      <c r="G149" s="317">
        <f t="shared" si="109"/>
        <v>3581.6040118356159</v>
      </c>
      <c r="H149" s="317">
        <f t="shared" si="109"/>
        <v>4316.2516716361642</v>
      </c>
      <c r="I149" s="317">
        <f t="shared" si="109"/>
        <v>4968.0057579800541</v>
      </c>
      <c r="J149" s="317">
        <f t="shared" si="109"/>
        <v>5576.3498811427908</v>
      </c>
      <c r="K149" s="317">
        <f t="shared" si="109"/>
        <v>6058.7541364990611</v>
      </c>
      <c r="L149" s="317">
        <f t="shared" si="109"/>
        <v>6527.2577287754302</v>
      </c>
      <c r="M149" s="317">
        <f t="shared" si="109"/>
        <v>6991.3416487354352</v>
      </c>
      <c r="N149" s="317">
        <f t="shared" si="109"/>
        <v>7357.4552694464919</v>
      </c>
      <c r="O149" s="420">
        <f t="shared" si="109"/>
        <v>7708.1958192699731</v>
      </c>
      <c r="Q149" s="454" t="s">
        <v>205</v>
      </c>
      <c r="R149" s="419">
        <v>3652</v>
      </c>
      <c r="S149" s="419">
        <v>11793</v>
      </c>
      <c r="T149" s="491">
        <v>11673</v>
      </c>
    </row>
    <row r="150" spans="2:20" ht="24" customHeight="1" outlineLevel="1" x14ac:dyDescent="0.35">
      <c r="B150" s="418" t="s">
        <v>210</v>
      </c>
      <c r="C150" s="419">
        <v>935</v>
      </c>
      <c r="D150" s="419">
        <v>1971</v>
      </c>
      <c r="E150" s="419">
        <v>2129</v>
      </c>
      <c r="F150" s="317">
        <f t="shared" ref="F150:O150" si="110">F158*F13</f>
        <v>2861.6281900000004</v>
      </c>
      <c r="G150" s="317">
        <f t="shared" si="110"/>
        <v>3698.9528471999997</v>
      </c>
      <c r="H150" s="317">
        <f t="shared" si="110"/>
        <v>4393.6993818720002</v>
      </c>
      <c r="I150" s="317">
        <f t="shared" si="110"/>
        <v>5009.9532048863994</v>
      </c>
      <c r="J150" s="317">
        <f t="shared" si="110"/>
        <v>5553.1907827522564</v>
      </c>
      <c r="K150" s="317">
        <f t="shared" si="110"/>
        <v>6009.5103481595752</v>
      </c>
      <c r="L150" s="317">
        <f t="shared" si="110"/>
        <v>6454.1061286187432</v>
      </c>
      <c r="M150" s="317">
        <f t="shared" si="110"/>
        <v>6868.2819083327113</v>
      </c>
      <c r="N150" s="317">
        <f t="shared" si="110"/>
        <v>7192.3260043653363</v>
      </c>
      <c r="O150" s="420">
        <f t="shared" si="110"/>
        <v>7501.0173500376268</v>
      </c>
      <c r="Q150" s="463" t="s">
        <v>207</v>
      </c>
      <c r="R150" s="424">
        <v>-60</v>
      </c>
      <c r="S150" s="424">
        <v>-207</v>
      </c>
      <c r="T150" s="492">
        <v>-144</v>
      </c>
    </row>
    <row r="151" spans="2:20" ht="24" customHeight="1" outlineLevel="1" x14ac:dyDescent="0.35">
      <c r="B151" s="463" t="s">
        <v>211</v>
      </c>
      <c r="C151" s="380">
        <f>R151</f>
        <v>3592</v>
      </c>
      <c r="D151" s="380">
        <f>S151</f>
        <v>11586</v>
      </c>
      <c r="E151" s="380">
        <f>T151</f>
        <v>11529</v>
      </c>
      <c r="F151" s="380">
        <f t="shared" ref="F151:O151" si="111">F159*F13</f>
        <v>14910.58899</v>
      </c>
      <c r="G151" s="380">
        <f t="shared" si="111"/>
        <v>19273.4911512</v>
      </c>
      <c r="H151" s="380">
        <f t="shared" si="111"/>
        <v>22893.486252912</v>
      </c>
      <c r="I151" s="380">
        <f t="shared" si="111"/>
        <v>26104.493014934396</v>
      </c>
      <c r="J151" s="380">
        <f t="shared" si="111"/>
        <v>28935.046710130177</v>
      </c>
      <c r="K151" s="380">
        <f t="shared" si="111"/>
        <v>31312.71181409463</v>
      </c>
      <c r="L151" s="380">
        <f t="shared" si="111"/>
        <v>33629.289828066081</v>
      </c>
      <c r="M151" s="380">
        <f t="shared" si="111"/>
        <v>35787.363627628336</v>
      </c>
      <c r="N151" s="380">
        <f t="shared" si="111"/>
        <v>37475.803917482539</v>
      </c>
      <c r="O151" s="425">
        <f t="shared" si="111"/>
        <v>39084.248297564474</v>
      </c>
      <c r="Q151" s="517" t="s">
        <v>209</v>
      </c>
      <c r="R151" s="518">
        <f>R149+R150</f>
        <v>3592</v>
      </c>
      <c r="S151" s="518">
        <f t="shared" ref="S151:T151" si="112">S149+S150</f>
        <v>11586</v>
      </c>
      <c r="T151" s="519">
        <f t="shared" si="112"/>
        <v>11529</v>
      </c>
    </row>
    <row r="152" spans="2:20" ht="24" customHeight="1" outlineLevel="1" x14ac:dyDescent="0.2">
      <c r="B152" s="418" t="s">
        <v>212</v>
      </c>
      <c r="C152" s="317">
        <f>SUM(C146:C148)-SUM(C149:C151)</f>
        <v>921</v>
      </c>
      <c r="D152" s="317">
        <f t="shared" ref="D152:O152" si="113">SUM(D146:D148)-SUM(D149:D151)</f>
        <v>-4972</v>
      </c>
      <c r="E152" s="317">
        <f>SUM(E146:E148)-SUM(E149:E151)</f>
        <v>177</v>
      </c>
      <c r="F152" s="317">
        <f>SUM(F146:F148)-SUM(F149:F151)</f>
        <v>2803.5038117808253</v>
      </c>
      <c r="G152" s="317">
        <f t="shared" si="113"/>
        <v>3865.0500881753396</v>
      </c>
      <c r="H152" s="317">
        <f t="shared" si="113"/>
        <v>4722.6199059064093</v>
      </c>
      <c r="I152" s="317">
        <f t="shared" si="113"/>
        <v>5483.5289401362388</v>
      </c>
      <c r="J152" s="317">
        <f t="shared" si="113"/>
        <v>6226.1339503501658</v>
      </c>
      <c r="K152" s="317">
        <f t="shared" si="113"/>
        <v>6789.1369417164533</v>
      </c>
      <c r="L152" s="317">
        <f t="shared" si="113"/>
        <v>7334.4734756683029</v>
      </c>
      <c r="M152" s="317">
        <f t="shared" si="113"/>
        <v>7901.2239558861183</v>
      </c>
      <c r="N152" s="317">
        <f t="shared" si="113"/>
        <v>8351.0621735063833</v>
      </c>
      <c r="O152" s="420">
        <f t="shared" si="113"/>
        <v>8783.7800506279164</v>
      </c>
    </row>
    <row r="153" spans="2:20" ht="24" customHeight="1" outlineLevel="1" x14ac:dyDescent="0.35">
      <c r="B153" s="540" t="s">
        <v>213</v>
      </c>
      <c r="C153" s="464"/>
      <c r="D153" s="465">
        <f t="shared" ref="D153:O153" si="114">D152-C152</f>
        <v>-5893</v>
      </c>
      <c r="E153" s="465">
        <f>E152-D152</f>
        <v>5149</v>
      </c>
      <c r="F153" s="465">
        <f>F152-E152</f>
        <v>2626.5038117808253</v>
      </c>
      <c r="G153" s="465">
        <f t="shared" si="114"/>
        <v>1061.5462763945143</v>
      </c>
      <c r="H153" s="465">
        <f t="shared" si="114"/>
        <v>857.56981773106963</v>
      </c>
      <c r="I153" s="465">
        <f t="shared" si="114"/>
        <v>760.90903422982956</v>
      </c>
      <c r="J153" s="465">
        <f t="shared" si="114"/>
        <v>742.60501021392702</v>
      </c>
      <c r="K153" s="465">
        <f t="shared" si="114"/>
        <v>563.00299136628746</v>
      </c>
      <c r="L153" s="465">
        <f t="shared" si="114"/>
        <v>545.33653395184956</v>
      </c>
      <c r="M153" s="465">
        <f t="shared" si="114"/>
        <v>566.75048021781549</v>
      </c>
      <c r="N153" s="465">
        <f t="shared" si="114"/>
        <v>449.83821762026491</v>
      </c>
      <c r="O153" s="466">
        <f t="shared" si="114"/>
        <v>432.71787712153309</v>
      </c>
    </row>
    <row r="154" spans="2:20" ht="24" customHeight="1" outlineLevel="1" x14ac:dyDescent="0.2">
      <c r="B154" s="418" t="s">
        <v>214</v>
      </c>
      <c r="C154" s="317">
        <f>C146/C13*365</f>
        <v>32.139646556296938</v>
      </c>
      <c r="D154" s="317">
        <f>D146/D13*365</f>
        <v>31.252956916275643</v>
      </c>
      <c r="E154" s="317">
        <f>E146/E13*365</f>
        <v>40.820902531031351</v>
      </c>
      <c r="F154" s="343">
        <v>35</v>
      </c>
      <c r="G154" s="343">
        <v>35</v>
      </c>
      <c r="H154" s="343">
        <v>35</v>
      </c>
      <c r="I154" s="343">
        <v>35</v>
      </c>
      <c r="J154" s="343">
        <v>35</v>
      </c>
      <c r="K154" s="343">
        <v>35</v>
      </c>
      <c r="L154" s="343">
        <v>35</v>
      </c>
      <c r="M154" s="343">
        <v>35</v>
      </c>
      <c r="N154" s="343">
        <v>35</v>
      </c>
      <c r="O154" s="421">
        <v>35</v>
      </c>
    </row>
    <row r="155" spans="2:20" ht="24" customHeight="1" outlineLevel="1" x14ac:dyDescent="0.2">
      <c r="B155" s="418" t="s">
        <v>215</v>
      </c>
      <c r="C155" s="317">
        <f>C146/C14*365</f>
        <v>127.03707790774664</v>
      </c>
      <c r="D155" s="317">
        <f>D146/D14*365</f>
        <v>132.94622236885516</v>
      </c>
      <c r="E155" s="317">
        <f>E146/E14*365</f>
        <v>191.16881688901918</v>
      </c>
      <c r="F155" s="343">
        <v>150</v>
      </c>
      <c r="G155" s="343">
        <v>150</v>
      </c>
      <c r="H155" s="343">
        <v>150</v>
      </c>
      <c r="I155" s="343">
        <v>150</v>
      </c>
      <c r="J155" s="343">
        <v>150</v>
      </c>
      <c r="K155" s="343">
        <v>150</v>
      </c>
      <c r="L155" s="343">
        <v>150</v>
      </c>
      <c r="M155" s="343">
        <v>150</v>
      </c>
      <c r="N155" s="343">
        <v>150</v>
      </c>
      <c r="O155" s="421">
        <v>150</v>
      </c>
    </row>
    <row r="156" spans="2:20" ht="24" customHeight="1" outlineLevel="1" x14ac:dyDescent="0.2">
      <c r="B156" s="418" t="s">
        <v>216</v>
      </c>
      <c r="C156" s="467">
        <f>C148/C13</f>
        <v>4.4836539266869535E-2</v>
      </c>
      <c r="D156" s="377">
        <f>D148/D13</f>
        <v>7.8935122348470166E-2</v>
      </c>
      <c r="E156" s="377">
        <f>E148/E13</f>
        <v>9.36027673861662E-2</v>
      </c>
      <c r="F156" s="427">
        <v>7.1999999999999995E-2</v>
      </c>
      <c r="G156" s="427">
        <v>7.1999999999999995E-2</v>
      </c>
      <c r="H156" s="427">
        <v>7.1999999999999995E-2</v>
      </c>
      <c r="I156" s="427">
        <v>7.1999999999999995E-2</v>
      </c>
      <c r="J156" s="427">
        <v>7.1999999999999995E-2</v>
      </c>
      <c r="K156" s="427">
        <v>7.1999999999999995E-2</v>
      </c>
      <c r="L156" s="427">
        <v>7.1999999999999995E-2</v>
      </c>
      <c r="M156" s="427">
        <v>7.1999999999999995E-2</v>
      </c>
      <c r="N156" s="427">
        <v>7.1999999999999995E-2</v>
      </c>
      <c r="O156" s="428">
        <v>7.1999999999999995E-2</v>
      </c>
    </row>
    <row r="157" spans="2:20" ht="24" customHeight="1" outlineLevel="1" x14ac:dyDescent="0.2">
      <c r="B157" s="418" t="s">
        <v>217</v>
      </c>
      <c r="C157" s="317">
        <f>C149/C14*365</f>
        <v>48.7364820128007</v>
      </c>
      <c r="D157" s="317">
        <f>D149/D14*365</f>
        <v>50.035466842626192</v>
      </c>
      <c r="E157" s="317">
        <f>E149/E14*365</f>
        <v>41.738747984166544</v>
      </c>
      <c r="F157" s="343">
        <v>48</v>
      </c>
      <c r="G157" s="343">
        <v>48</v>
      </c>
      <c r="H157" s="343">
        <v>48</v>
      </c>
      <c r="I157" s="343">
        <v>48</v>
      </c>
      <c r="J157" s="343">
        <v>48</v>
      </c>
      <c r="K157" s="343">
        <v>48</v>
      </c>
      <c r="L157" s="343">
        <v>48</v>
      </c>
      <c r="M157" s="343">
        <v>48</v>
      </c>
      <c r="N157" s="343">
        <v>48</v>
      </c>
      <c r="O157" s="421">
        <v>48</v>
      </c>
    </row>
    <row r="158" spans="2:20" ht="24" customHeight="1" outlineLevel="1" x14ac:dyDescent="0.2">
      <c r="B158" s="418" t="s">
        <v>218</v>
      </c>
      <c r="C158" s="377">
        <f>C150/C13</f>
        <v>2.6103464641670623E-2</v>
      </c>
      <c r="D158" s="377">
        <f>D150/D13</f>
        <v>3.8216931011750103E-2</v>
      </c>
      <c r="E158" s="377">
        <f>E150/E13</f>
        <v>3.3324463505877568E-2</v>
      </c>
      <c r="F158" s="427">
        <v>3.2300000000000002E-2</v>
      </c>
      <c r="G158" s="427">
        <v>3.2300000000000002E-2</v>
      </c>
      <c r="H158" s="427">
        <v>3.2300000000000002E-2</v>
      </c>
      <c r="I158" s="427">
        <v>3.2300000000000002E-2</v>
      </c>
      <c r="J158" s="427">
        <v>3.2300000000000002E-2</v>
      </c>
      <c r="K158" s="427">
        <v>3.2300000000000002E-2</v>
      </c>
      <c r="L158" s="427">
        <v>3.2300000000000002E-2</v>
      </c>
      <c r="M158" s="427">
        <v>3.2300000000000002E-2</v>
      </c>
      <c r="N158" s="427">
        <v>3.2300000000000002E-2</v>
      </c>
      <c r="O158" s="428">
        <v>3.2300000000000002E-2</v>
      </c>
      <c r="P158" s="343"/>
    </row>
    <row r="159" spans="2:20" ht="24" customHeight="1" outlineLevel="1" x14ac:dyDescent="0.2">
      <c r="B159" s="429" t="s">
        <v>219</v>
      </c>
      <c r="C159" s="453">
        <f>C151/C13</f>
        <v>0.10028197325441805</v>
      </c>
      <c r="D159" s="453">
        <f>D151/D13</f>
        <v>0.22464807848916121</v>
      </c>
      <c r="E159" s="453">
        <f>E151/E13</f>
        <v>0.18045924836038632</v>
      </c>
      <c r="F159" s="431">
        <v>0.16830000000000001</v>
      </c>
      <c r="G159" s="431">
        <v>0.16830000000000001</v>
      </c>
      <c r="H159" s="431">
        <v>0.16830000000000001</v>
      </c>
      <c r="I159" s="431">
        <v>0.16830000000000001</v>
      </c>
      <c r="J159" s="431">
        <v>0.16830000000000001</v>
      </c>
      <c r="K159" s="431">
        <v>0.16830000000000001</v>
      </c>
      <c r="L159" s="431">
        <v>0.16830000000000001</v>
      </c>
      <c r="M159" s="431">
        <v>0.16830000000000001</v>
      </c>
      <c r="N159" s="431">
        <v>0.16830000000000001</v>
      </c>
      <c r="O159" s="432">
        <v>0.16830000000000001</v>
      </c>
      <c r="P159" s="345"/>
    </row>
    <row r="160" spans="2:20" ht="24" customHeight="1" outlineLevel="1" x14ac:dyDescent="0.2">
      <c r="B160" s="333"/>
      <c r="C160" s="344"/>
      <c r="D160" s="344"/>
      <c r="E160" s="344"/>
      <c r="F160" s="347"/>
      <c r="G160" s="347"/>
      <c r="H160" s="347"/>
      <c r="I160" s="347"/>
      <c r="J160" s="347"/>
      <c r="K160" s="347"/>
      <c r="L160" s="347"/>
      <c r="M160" s="347"/>
      <c r="N160" s="347"/>
      <c r="O160" s="347"/>
      <c r="P160" s="343"/>
    </row>
    <row r="161" spans="2:15" ht="24" customHeight="1" outlineLevel="1" x14ac:dyDescent="0.2">
      <c r="B161" s="539" t="s">
        <v>220</v>
      </c>
      <c r="C161" s="443" t="str">
        <f>C$4</f>
        <v>2023A</v>
      </c>
      <c r="D161" s="443" t="str">
        <f t="shared" ref="D161:O161" si="115">D$4</f>
        <v>2024A</v>
      </c>
      <c r="E161" s="443" t="str">
        <f t="shared" si="115"/>
        <v>2025A</v>
      </c>
      <c r="F161" s="443" t="str">
        <f t="shared" si="115"/>
        <v>2026P</v>
      </c>
      <c r="G161" s="443" t="str">
        <f t="shared" si="115"/>
        <v>2027P</v>
      </c>
      <c r="H161" s="443" t="str">
        <f t="shared" si="115"/>
        <v>2028P</v>
      </c>
      <c r="I161" s="443" t="str">
        <f t="shared" si="115"/>
        <v xml:space="preserve">2029P </v>
      </c>
      <c r="J161" s="443" t="str">
        <f t="shared" si="115"/>
        <v>2030P</v>
      </c>
      <c r="K161" s="443" t="str">
        <f t="shared" si="115"/>
        <v>2031P</v>
      </c>
      <c r="L161" s="443" t="str">
        <f t="shared" si="115"/>
        <v>2032P</v>
      </c>
      <c r="M161" s="443" t="str">
        <f t="shared" si="115"/>
        <v xml:space="preserve">2033P </v>
      </c>
      <c r="N161" s="443" t="str">
        <f t="shared" si="115"/>
        <v>2034P</v>
      </c>
      <c r="O161" s="444" t="str">
        <f t="shared" si="115"/>
        <v>2035P</v>
      </c>
    </row>
    <row r="162" spans="2:15" ht="24" customHeight="1" outlineLevel="1" x14ac:dyDescent="0.2">
      <c r="B162" s="454" t="s">
        <v>221</v>
      </c>
      <c r="C162" s="419">
        <v>7111</v>
      </c>
      <c r="D162" s="317">
        <f>C166</f>
        <v>3867</v>
      </c>
      <c r="E162" s="317">
        <f>D166</f>
        <v>40583</v>
      </c>
      <c r="F162" s="317">
        <f>E166</f>
        <v>32273</v>
      </c>
      <c r="G162" s="317">
        <f t="shared" ref="G162:O162" si="116">F166</f>
        <v>24813.827675</v>
      </c>
      <c r="H162" s="317">
        <f>G166</f>
        <v>18549.272437449999</v>
      </c>
      <c r="I162" s="317">
        <f t="shared" si="116"/>
        <v>13439.282868184</v>
      </c>
      <c r="J162" s="317">
        <f t="shared" si="116"/>
        <v>9472.5980944911207</v>
      </c>
      <c r="K162" s="317">
        <f t="shared" si="116"/>
        <v>6666.9649695212174</v>
      </c>
      <c r="L162" s="317">
        <f t="shared" si="116"/>
        <v>4855.4733386661837</v>
      </c>
      <c r="M162" s="317">
        <f t="shared" si="116"/>
        <v>4528.7472313192784</v>
      </c>
      <c r="N162" s="317">
        <f t="shared" si="116"/>
        <v>4794.6893862838879</v>
      </c>
      <c r="O162" s="420">
        <f t="shared" si="116"/>
        <v>5242.1230426193924</v>
      </c>
    </row>
    <row r="163" spans="2:15" ht="24" customHeight="1" outlineLevel="1" x14ac:dyDescent="0.2">
      <c r="B163" s="418" t="s">
        <v>222</v>
      </c>
      <c r="C163" s="419"/>
      <c r="D163" s="419"/>
      <c r="E163" s="419"/>
      <c r="F163" s="317">
        <f t="shared" ref="F163:O163" si="117">F41</f>
        <v>420.827675</v>
      </c>
      <c r="G163" s="317">
        <f t="shared" si="117"/>
        <v>578.31925320000005</v>
      </c>
      <c r="H163" s="317">
        <f t="shared" si="117"/>
        <v>652.93365427200001</v>
      </c>
      <c r="I163" s="317">
        <f t="shared" si="117"/>
        <v>729.00247872959994</v>
      </c>
      <c r="J163" s="317">
        <f t="shared" si="117"/>
        <v>773.66435053824</v>
      </c>
      <c r="K163" s="317">
        <f t="shared" si="117"/>
        <v>827.93563620155135</v>
      </c>
      <c r="L163" s="317">
        <f t="shared" si="117"/>
        <v>859.21536696782005</v>
      </c>
      <c r="M163" s="317">
        <f t="shared" si="117"/>
        <v>701.71301230643803</v>
      </c>
      <c r="N163" s="317">
        <f t="shared" si="117"/>
        <v>946.35868478491273</v>
      </c>
      <c r="O163" s="420">
        <f t="shared" si="117"/>
        <v>986.97596711021401</v>
      </c>
    </row>
    <row r="164" spans="2:15" ht="24" customHeight="1" x14ac:dyDescent="0.2">
      <c r="B164" s="418" t="s">
        <v>223</v>
      </c>
      <c r="C164" s="419"/>
      <c r="D164" s="419"/>
      <c r="E164" s="419"/>
      <c r="F164" s="317">
        <f>-F168*E169</f>
        <v>0</v>
      </c>
      <c r="G164" s="317">
        <f t="shared" ref="G164:O164" si="118">-G168*F169</f>
        <v>-37.87449075</v>
      </c>
      <c r="H164" s="317">
        <f t="shared" si="118"/>
        <v>-89.923223538000002</v>
      </c>
      <c r="I164" s="317">
        <f t="shared" si="118"/>
        <v>-148.68725242247999</v>
      </c>
      <c r="J164" s="317">
        <f t="shared" si="118"/>
        <v>-214.29747550814398</v>
      </c>
      <c r="K164" s="317">
        <f t="shared" si="118"/>
        <v>-283.92726705658555</v>
      </c>
      <c r="L164" s="317">
        <f t="shared" si="118"/>
        <v>-358.44147431472521</v>
      </c>
      <c r="M164" s="317">
        <f t="shared" si="118"/>
        <v>-435.77085734182901</v>
      </c>
      <c r="N164" s="317">
        <f t="shared" si="118"/>
        <v>-498.92502844940839</v>
      </c>
      <c r="O164" s="420">
        <f t="shared" si="118"/>
        <v>-584.09731008005053</v>
      </c>
    </row>
    <row r="165" spans="2:15" ht="24" customHeight="1" outlineLevel="1" x14ac:dyDescent="0.35">
      <c r="B165" s="418" t="s">
        <v>224</v>
      </c>
      <c r="C165" s="424">
        <f>-3246</f>
        <v>-3246</v>
      </c>
      <c r="D165" s="424">
        <v>-9267</v>
      </c>
      <c r="E165" s="424">
        <v>-8062</v>
      </c>
      <c r="F165" s="440">
        <v>-7880</v>
      </c>
      <c r="G165" s="440">
        <v>-6805</v>
      </c>
      <c r="H165" s="440">
        <v>-5673</v>
      </c>
      <c r="I165" s="440">
        <v>-4547</v>
      </c>
      <c r="J165" s="440">
        <v>-3365</v>
      </c>
      <c r="K165" s="440">
        <v>-2355.5</v>
      </c>
      <c r="L165" s="440">
        <v>-827.5</v>
      </c>
      <c r="M165" s="440">
        <v>0</v>
      </c>
      <c r="N165" s="440">
        <v>0</v>
      </c>
      <c r="O165" s="458">
        <v>0</v>
      </c>
    </row>
    <row r="166" spans="2:15" ht="24" customHeight="1" outlineLevel="1" x14ac:dyDescent="0.2">
      <c r="B166" s="418" t="s">
        <v>225</v>
      </c>
      <c r="C166" s="419">
        <v>3867</v>
      </c>
      <c r="D166" s="419">
        <v>40583</v>
      </c>
      <c r="E166" s="419">
        <v>32273</v>
      </c>
      <c r="F166" s="317">
        <f>SUM(F162:F165)</f>
        <v>24813.827675</v>
      </c>
      <c r="G166" s="317">
        <f t="shared" ref="G166:O166" si="119">SUM(G162:G165)</f>
        <v>18549.272437449999</v>
      </c>
      <c r="H166" s="317">
        <f t="shared" si="119"/>
        <v>13439.282868184</v>
      </c>
      <c r="I166" s="317">
        <f t="shared" si="119"/>
        <v>9472.5980944911207</v>
      </c>
      <c r="J166" s="317">
        <f t="shared" si="119"/>
        <v>6666.9649695212174</v>
      </c>
      <c r="K166" s="317">
        <f t="shared" si="119"/>
        <v>4855.4733386661837</v>
      </c>
      <c r="L166" s="317">
        <f t="shared" si="119"/>
        <v>4528.7472313192784</v>
      </c>
      <c r="M166" s="317">
        <f t="shared" si="119"/>
        <v>4794.6893862838879</v>
      </c>
      <c r="N166" s="317">
        <f t="shared" si="119"/>
        <v>5242.1230426193924</v>
      </c>
      <c r="O166" s="420">
        <f t="shared" si="119"/>
        <v>5645.001699649556</v>
      </c>
    </row>
    <row r="167" spans="2:15" ht="24" customHeight="1" outlineLevel="1" x14ac:dyDescent="0.2">
      <c r="B167" s="418" t="s">
        <v>226</v>
      </c>
      <c r="C167" s="459"/>
      <c r="D167" s="459"/>
      <c r="E167" s="459"/>
      <c r="F167" s="427">
        <v>0.05</v>
      </c>
      <c r="G167" s="427">
        <v>0.05</v>
      </c>
      <c r="H167" s="427">
        <v>0.05</v>
      </c>
      <c r="I167" s="427">
        <v>0.05</v>
      </c>
      <c r="J167" s="427">
        <v>0.05</v>
      </c>
      <c r="K167" s="427">
        <v>0.05</v>
      </c>
      <c r="L167" s="427">
        <v>0.05</v>
      </c>
      <c r="M167" s="427">
        <v>0.05</v>
      </c>
      <c r="N167" s="427">
        <v>0.05</v>
      </c>
      <c r="O167" s="428">
        <v>0.05</v>
      </c>
    </row>
    <row r="168" spans="2:15" ht="24" customHeight="1" outlineLevel="1" x14ac:dyDescent="0.2">
      <c r="B168" s="418" t="s">
        <v>227</v>
      </c>
      <c r="C168" s="459"/>
      <c r="D168" s="459"/>
      <c r="E168" s="459"/>
      <c r="F168" s="427">
        <v>0.09</v>
      </c>
      <c r="G168" s="427">
        <v>0.09</v>
      </c>
      <c r="H168" s="427">
        <v>0.09</v>
      </c>
      <c r="I168" s="427">
        <v>0.09</v>
      </c>
      <c r="J168" s="427">
        <v>0.09</v>
      </c>
      <c r="K168" s="427">
        <v>0.09</v>
      </c>
      <c r="L168" s="427">
        <v>0.09</v>
      </c>
      <c r="M168" s="427">
        <v>0.09</v>
      </c>
      <c r="N168" s="427">
        <v>0.09</v>
      </c>
      <c r="O168" s="428">
        <v>0.09</v>
      </c>
    </row>
    <row r="169" spans="2:15" ht="24" customHeight="1" outlineLevel="1" x14ac:dyDescent="0.2">
      <c r="B169" s="429" t="s">
        <v>228</v>
      </c>
      <c r="C169" s="460"/>
      <c r="D169" s="460"/>
      <c r="E169" s="461"/>
      <c r="F169" s="460">
        <f>F163+E169</f>
        <v>420.827675</v>
      </c>
      <c r="G169" s="460">
        <f t="shared" ref="G169:O169" si="120">G163+F169</f>
        <v>999.14692820000005</v>
      </c>
      <c r="H169" s="460">
        <f t="shared" si="120"/>
        <v>1652.0805824720001</v>
      </c>
      <c r="I169" s="460">
        <f t="shared" si="120"/>
        <v>2381.0830612015998</v>
      </c>
      <c r="J169" s="460">
        <f t="shared" si="120"/>
        <v>3154.7474117398397</v>
      </c>
      <c r="K169" s="460">
        <f t="shared" si="120"/>
        <v>3982.6830479413911</v>
      </c>
      <c r="L169" s="460">
        <f t="shared" si="120"/>
        <v>4841.8984149092112</v>
      </c>
      <c r="M169" s="460">
        <f t="shared" si="120"/>
        <v>5543.6114272156492</v>
      </c>
      <c r="N169" s="460">
        <f t="shared" si="120"/>
        <v>6489.970112000562</v>
      </c>
      <c r="O169" s="462">
        <f t="shared" si="120"/>
        <v>7476.9460791107758</v>
      </c>
    </row>
    <row r="170" spans="2:15" ht="24" customHeight="1" outlineLevel="1" x14ac:dyDescent="0.2">
      <c r="B170" s="333"/>
      <c r="C170" s="317"/>
      <c r="D170" s="317"/>
      <c r="E170" s="317"/>
      <c r="F170" s="317"/>
      <c r="G170" s="317"/>
      <c r="H170" s="317"/>
      <c r="I170" s="317"/>
      <c r="J170" s="317"/>
      <c r="K170" s="317"/>
      <c r="L170" s="317"/>
      <c r="M170" s="317"/>
      <c r="N170" s="317"/>
      <c r="O170" s="317"/>
    </row>
    <row r="171" spans="2:15" ht="24" customHeight="1" outlineLevel="1" x14ac:dyDescent="0.2">
      <c r="B171" s="539" t="s">
        <v>229</v>
      </c>
      <c r="C171" s="443" t="str">
        <f>C$4</f>
        <v>2023A</v>
      </c>
      <c r="D171" s="443" t="str">
        <f t="shared" ref="D171:O171" si="121">D$4</f>
        <v>2024A</v>
      </c>
      <c r="E171" s="443" t="str">
        <f t="shared" si="121"/>
        <v>2025A</v>
      </c>
      <c r="F171" s="443" t="str">
        <f t="shared" si="121"/>
        <v>2026P</v>
      </c>
      <c r="G171" s="443" t="str">
        <f t="shared" si="121"/>
        <v>2027P</v>
      </c>
      <c r="H171" s="443" t="str">
        <f t="shared" si="121"/>
        <v>2028P</v>
      </c>
      <c r="I171" s="443" t="str">
        <f t="shared" si="121"/>
        <v xml:space="preserve">2029P </v>
      </c>
      <c r="J171" s="443" t="str">
        <f t="shared" si="121"/>
        <v>2030P</v>
      </c>
      <c r="K171" s="443" t="str">
        <f t="shared" si="121"/>
        <v>2031P</v>
      </c>
      <c r="L171" s="443" t="str">
        <f t="shared" si="121"/>
        <v>2032P</v>
      </c>
      <c r="M171" s="443" t="str">
        <f t="shared" si="121"/>
        <v xml:space="preserve">2033P </v>
      </c>
      <c r="N171" s="443" t="str">
        <f t="shared" si="121"/>
        <v>2034P</v>
      </c>
      <c r="O171" s="444" t="str">
        <f t="shared" si="121"/>
        <v>2035P</v>
      </c>
    </row>
    <row r="172" spans="2:15" ht="24" customHeight="1" outlineLevel="1" x14ac:dyDescent="0.2">
      <c r="B172" s="418" t="s">
        <v>230</v>
      </c>
      <c r="C172" s="419"/>
      <c r="D172" s="317"/>
      <c r="E172" s="317"/>
      <c r="F172" s="317">
        <f t="shared" ref="F172:O172" si="122">E175</f>
        <v>1318</v>
      </c>
      <c r="G172" s="317">
        <f t="shared" si="122"/>
        <v>1504.335</v>
      </c>
      <c r="H172" s="317">
        <f t="shared" si="122"/>
        <v>1599.5768130000001</v>
      </c>
      <c r="I172" s="317">
        <f t="shared" si="122"/>
        <v>1619.3711846614001</v>
      </c>
      <c r="J172" s="317">
        <f t="shared" si="122"/>
        <v>1635.111727288215</v>
      </c>
      <c r="K172" s="317">
        <f t="shared" si="122"/>
        <v>1641.6046678525918</v>
      </c>
      <c r="L172" s="317">
        <f t="shared" si="122"/>
        <v>1648.4079709759458</v>
      </c>
      <c r="M172" s="317">
        <f t="shared" si="122"/>
        <v>1695.5364719885961</v>
      </c>
      <c r="N172" s="317">
        <f t="shared" si="122"/>
        <v>1724.917715349651</v>
      </c>
      <c r="O172" s="420">
        <f t="shared" si="122"/>
        <v>1755.7033821433643</v>
      </c>
    </row>
    <row r="173" spans="2:15" ht="24" customHeight="1" outlineLevel="1" x14ac:dyDescent="0.2">
      <c r="B173" s="418" t="s">
        <v>231</v>
      </c>
      <c r="C173" s="317"/>
      <c r="D173" s="317"/>
      <c r="E173" s="317"/>
      <c r="F173" s="317">
        <f>-(F182-F183)</f>
        <v>-313.66500000000002</v>
      </c>
      <c r="G173" s="317">
        <f t="shared" ref="G173:O173" si="123">-(G182-G183)</f>
        <v>-404.75818700000002</v>
      </c>
      <c r="H173" s="317">
        <f t="shared" si="123"/>
        <v>-505.20562833859998</v>
      </c>
      <c r="I173" s="317">
        <f t="shared" si="123"/>
        <v>-634.25945737318511</v>
      </c>
      <c r="J173" s="317">
        <f t="shared" si="123"/>
        <v>-793.50705943562332</v>
      </c>
      <c r="K173" s="317">
        <f t="shared" si="123"/>
        <v>-993.19669687664612</v>
      </c>
      <c r="L173" s="317">
        <f t="shared" si="123"/>
        <v>-1252.8714989873497</v>
      </c>
      <c r="M173" s="317">
        <f t="shared" si="123"/>
        <v>-1570.6187566389451</v>
      </c>
      <c r="N173" s="317">
        <f t="shared" si="123"/>
        <v>-1969.2143332062867</v>
      </c>
      <c r="O173" s="420">
        <f t="shared" si="123"/>
        <v>-2467.742778333547</v>
      </c>
    </row>
    <row r="174" spans="2:15" ht="24" customHeight="1" x14ac:dyDescent="0.2">
      <c r="B174" s="418" t="s">
        <v>232</v>
      </c>
      <c r="C174" s="343"/>
      <c r="D174" s="343"/>
      <c r="E174" s="343"/>
      <c r="F174" s="317">
        <f t="shared" ref="F174:O174" si="124">F179</f>
        <v>500</v>
      </c>
      <c r="G174" s="317">
        <f t="shared" si="124"/>
        <v>500</v>
      </c>
      <c r="H174" s="317">
        <f t="shared" si="124"/>
        <v>525</v>
      </c>
      <c r="I174" s="317">
        <f t="shared" si="124"/>
        <v>650</v>
      </c>
      <c r="J174" s="317">
        <f t="shared" si="124"/>
        <v>800</v>
      </c>
      <c r="K174" s="317">
        <f t="shared" si="124"/>
        <v>1000</v>
      </c>
      <c r="L174" s="317">
        <f t="shared" si="124"/>
        <v>1300</v>
      </c>
      <c r="M174" s="317">
        <f t="shared" si="124"/>
        <v>1600</v>
      </c>
      <c r="N174" s="317">
        <f t="shared" si="124"/>
        <v>2000</v>
      </c>
      <c r="O174" s="420">
        <f t="shared" si="124"/>
        <v>2500</v>
      </c>
    </row>
    <row r="175" spans="2:15" ht="24" customHeight="1" outlineLevel="1" x14ac:dyDescent="0.2">
      <c r="B175" s="418" t="s">
        <v>233</v>
      </c>
      <c r="C175" s="419">
        <v>463</v>
      </c>
      <c r="D175" s="419">
        <v>1325</v>
      </c>
      <c r="E175" s="419">
        <f>1318</f>
        <v>1318</v>
      </c>
      <c r="F175" s="317">
        <f t="shared" ref="F175:O175" si="125">SUM(F172:F174)</f>
        <v>1504.335</v>
      </c>
      <c r="G175" s="317">
        <f t="shared" si="125"/>
        <v>1599.5768130000001</v>
      </c>
      <c r="H175" s="317">
        <f t="shared" si="125"/>
        <v>1619.3711846614001</v>
      </c>
      <c r="I175" s="317">
        <f t="shared" si="125"/>
        <v>1635.111727288215</v>
      </c>
      <c r="J175" s="317">
        <f t="shared" si="125"/>
        <v>1641.6046678525918</v>
      </c>
      <c r="K175" s="317">
        <f t="shared" si="125"/>
        <v>1648.4079709759458</v>
      </c>
      <c r="L175" s="317">
        <f t="shared" si="125"/>
        <v>1695.5364719885961</v>
      </c>
      <c r="M175" s="317">
        <f t="shared" si="125"/>
        <v>1724.917715349651</v>
      </c>
      <c r="N175" s="317">
        <f t="shared" si="125"/>
        <v>1755.7033821433643</v>
      </c>
      <c r="O175" s="420">
        <f t="shared" si="125"/>
        <v>1787.9606038098173</v>
      </c>
    </row>
    <row r="176" spans="2:15" ht="24" customHeight="1" outlineLevel="1" x14ac:dyDescent="0.2">
      <c r="B176" s="418" t="s">
        <v>234</v>
      </c>
      <c r="C176" s="317">
        <f>C175-C180</f>
        <v>44</v>
      </c>
      <c r="D176" s="317">
        <f t="shared" ref="D176:O176" si="126">D175-D180</f>
        <v>-25</v>
      </c>
      <c r="E176" s="317">
        <f t="shared" si="126"/>
        <v>-7</v>
      </c>
      <c r="F176" s="317">
        <f t="shared" si="126"/>
        <v>-7</v>
      </c>
      <c r="G176" s="317">
        <f t="shared" si="126"/>
        <v>-7</v>
      </c>
      <c r="H176" s="317">
        <f t="shared" si="126"/>
        <v>-7</v>
      </c>
      <c r="I176" s="317">
        <f t="shared" si="126"/>
        <v>-7</v>
      </c>
      <c r="J176" s="317">
        <f t="shared" si="126"/>
        <v>-7</v>
      </c>
      <c r="K176" s="317">
        <f t="shared" si="126"/>
        <v>-7</v>
      </c>
      <c r="L176" s="317">
        <f t="shared" si="126"/>
        <v>-7</v>
      </c>
      <c r="M176" s="317">
        <f t="shared" si="126"/>
        <v>-7</v>
      </c>
      <c r="N176" s="317">
        <f t="shared" si="126"/>
        <v>-7</v>
      </c>
      <c r="O176" s="420">
        <f t="shared" si="126"/>
        <v>-7</v>
      </c>
    </row>
    <row r="177" spans="2:15" ht="24" customHeight="1" outlineLevel="1" x14ac:dyDescent="0.2">
      <c r="B177" s="418" t="s">
        <v>235</v>
      </c>
      <c r="C177" s="419">
        <v>463</v>
      </c>
      <c r="D177" s="317">
        <f>C180</f>
        <v>419</v>
      </c>
      <c r="E177" s="317">
        <f t="shared" ref="E177:O177" si="127">D180</f>
        <v>1350</v>
      </c>
      <c r="F177" s="317">
        <f t="shared" si="127"/>
        <v>1325</v>
      </c>
      <c r="G177" s="317">
        <f t="shared" si="127"/>
        <v>1511.335</v>
      </c>
      <c r="H177" s="317">
        <f t="shared" si="127"/>
        <v>1606.5768130000001</v>
      </c>
      <c r="I177" s="317">
        <f t="shared" si="127"/>
        <v>1626.3711846614001</v>
      </c>
      <c r="J177" s="317">
        <f t="shared" si="127"/>
        <v>1642.111727288215</v>
      </c>
      <c r="K177" s="317">
        <f t="shared" si="127"/>
        <v>1648.6046678525918</v>
      </c>
      <c r="L177" s="317">
        <f t="shared" si="127"/>
        <v>1655.4079709759458</v>
      </c>
      <c r="M177" s="317">
        <f t="shared" si="127"/>
        <v>1702.5364719885961</v>
      </c>
      <c r="N177" s="317">
        <f t="shared" si="127"/>
        <v>1731.917715349651</v>
      </c>
      <c r="O177" s="420">
        <f t="shared" si="127"/>
        <v>1762.7033821433643</v>
      </c>
    </row>
    <row r="178" spans="2:15" ht="24" customHeight="1" outlineLevel="1" x14ac:dyDescent="0.2">
      <c r="B178" s="418" t="s">
        <v>236</v>
      </c>
      <c r="C178" s="317">
        <f>-(C182-C183)</f>
        <v>-72.942999999999998</v>
      </c>
      <c r="D178" s="317">
        <f t="shared" ref="D178:O178" si="128">-(D182-D183)</f>
        <v>-164.75110000000001</v>
      </c>
      <c r="E178" s="317">
        <f t="shared" si="128"/>
        <v>-212.47</v>
      </c>
      <c r="F178" s="317">
        <f t="shared" si="128"/>
        <v>-313.66500000000002</v>
      </c>
      <c r="G178" s="317">
        <f t="shared" si="128"/>
        <v>-404.75818700000002</v>
      </c>
      <c r="H178" s="317">
        <f t="shared" si="128"/>
        <v>-505.20562833859998</v>
      </c>
      <c r="I178" s="317">
        <f t="shared" si="128"/>
        <v>-634.25945737318511</v>
      </c>
      <c r="J178" s="317">
        <f t="shared" si="128"/>
        <v>-793.50705943562332</v>
      </c>
      <c r="K178" s="317">
        <f t="shared" si="128"/>
        <v>-993.19669687664612</v>
      </c>
      <c r="L178" s="317">
        <f t="shared" si="128"/>
        <v>-1252.8714989873497</v>
      </c>
      <c r="M178" s="317">
        <f t="shared" si="128"/>
        <v>-1570.6187566389451</v>
      </c>
      <c r="N178" s="317">
        <f t="shared" si="128"/>
        <v>-1969.2143332062867</v>
      </c>
      <c r="O178" s="420">
        <f t="shared" si="128"/>
        <v>-2467.742778333547</v>
      </c>
    </row>
    <row r="179" spans="2:15" ht="24" customHeight="1" outlineLevel="1" x14ac:dyDescent="0.2">
      <c r="B179" s="418" t="s">
        <v>237</v>
      </c>
      <c r="C179" s="317">
        <f>C180-C177-C178</f>
        <v>28.942999999999998</v>
      </c>
      <c r="D179" s="317">
        <f t="shared" ref="D179:E179" si="129">D180-D177-D178</f>
        <v>1095.7511</v>
      </c>
      <c r="E179" s="317">
        <f t="shared" si="129"/>
        <v>187.47</v>
      </c>
      <c r="F179" s="343">
        <v>500</v>
      </c>
      <c r="G179" s="343">
        <v>500</v>
      </c>
      <c r="H179" s="343">
        <v>525</v>
      </c>
      <c r="I179" s="343">
        <v>650</v>
      </c>
      <c r="J179" s="343">
        <v>800</v>
      </c>
      <c r="K179" s="343">
        <v>1000</v>
      </c>
      <c r="L179" s="343">
        <v>1300</v>
      </c>
      <c r="M179" s="343">
        <v>1600</v>
      </c>
      <c r="N179" s="343">
        <v>2000</v>
      </c>
      <c r="O179" s="421">
        <v>2500</v>
      </c>
    </row>
    <row r="180" spans="2:15" ht="24" customHeight="1" outlineLevel="1" x14ac:dyDescent="0.2">
      <c r="B180" s="418" t="s">
        <v>238</v>
      </c>
      <c r="C180" s="419">
        <f>60+359</f>
        <v>419</v>
      </c>
      <c r="D180" s="419">
        <f>1143+207</f>
        <v>1350</v>
      </c>
      <c r="E180" s="419">
        <f>1181+144</f>
        <v>1325</v>
      </c>
      <c r="F180" s="317">
        <f t="shared" ref="F180:O180" si="130">SUM(F177:F179)</f>
        <v>1511.335</v>
      </c>
      <c r="G180" s="317">
        <f t="shared" si="130"/>
        <v>1606.5768130000001</v>
      </c>
      <c r="H180" s="317">
        <f t="shared" si="130"/>
        <v>1626.3711846614001</v>
      </c>
      <c r="I180" s="317">
        <f t="shared" si="130"/>
        <v>1642.111727288215</v>
      </c>
      <c r="J180" s="317">
        <f t="shared" si="130"/>
        <v>1648.6046678525918</v>
      </c>
      <c r="K180" s="317">
        <f t="shared" si="130"/>
        <v>1655.4079709759458</v>
      </c>
      <c r="L180" s="317">
        <f t="shared" si="130"/>
        <v>1702.5364719885961</v>
      </c>
      <c r="M180" s="317">
        <f t="shared" si="130"/>
        <v>1731.917715349651</v>
      </c>
      <c r="N180" s="317">
        <f t="shared" si="130"/>
        <v>1762.7033821433643</v>
      </c>
      <c r="O180" s="420">
        <f t="shared" si="130"/>
        <v>1794.9606038098173</v>
      </c>
    </row>
    <row r="181" spans="2:15" ht="24" customHeight="1" outlineLevel="1" x14ac:dyDescent="0.2">
      <c r="B181" s="454"/>
      <c r="C181" s="317"/>
      <c r="D181" s="317"/>
      <c r="E181" s="317"/>
      <c r="F181" s="317"/>
      <c r="G181" s="317"/>
      <c r="H181" s="317"/>
      <c r="I181" s="317"/>
      <c r="J181" s="317"/>
      <c r="K181" s="317"/>
      <c r="L181" s="317"/>
      <c r="M181" s="317"/>
      <c r="N181" s="317"/>
      <c r="O181" s="420"/>
    </row>
    <row r="182" spans="2:15" ht="24" customHeight="1" outlineLevel="1" x14ac:dyDescent="0.2">
      <c r="B182" s="418" t="s">
        <v>239</v>
      </c>
      <c r="C182" s="419">
        <v>91</v>
      </c>
      <c r="D182" s="419">
        <v>187</v>
      </c>
      <c r="E182" s="419">
        <v>277</v>
      </c>
      <c r="F182" s="317">
        <f t="shared" ref="F182:O182" si="131">E182+F184*F179</f>
        <v>377</v>
      </c>
      <c r="G182" s="317">
        <f>F182+G184*G179</f>
        <v>477</v>
      </c>
      <c r="H182" s="317">
        <f t="shared" si="131"/>
        <v>582</v>
      </c>
      <c r="I182" s="317">
        <f t="shared" si="131"/>
        <v>712</v>
      </c>
      <c r="J182" s="317">
        <f t="shared" si="131"/>
        <v>872</v>
      </c>
      <c r="K182" s="317">
        <f t="shared" si="131"/>
        <v>1072</v>
      </c>
      <c r="L182" s="317">
        <f t="shared" si="131"/>
        <v>1332</v>
      </c>
      <c r="M182" s="317">
        <f t="shared" si="131"/>
        <v>1652</v>
      </c>
      <c r="N182" s="317">
        <f t="shared" si="131"/>
        <v>2052</v>
      </c>
      <c r="O182" s="420">
        <f t="shared" si="131"/>
        <v>2552</v>
      </c>
    </row>
    <row r="183" spans="2:15" ht="24" customHeight="1" outlineLevel="1" x14ac:dyDescent="0.2">
      <c r="B183" s="418" t="s">
        <v>240</v>
      </c>
      <c r="C183" s="317">
        <f>C177*C185</f>
        <v>18.056999999999999</v>
      </c>
      <c r="D183" s="317">
        <f t="shared" ref="D183:E183" si="132">D177*D185</f>
        <v>22.248899999999999</v>
      </c>
      <c r="E183" s="317">
        <f t="shared" si="132"/>
        <v>64.53</v>
      </c>
      <c r="F183" s="317">
        <f t="shared" ref="F183:O183" si="133">F185*F177</f>
        <v>63.335000000000001</v>
      </c>
      <c r="G183" s="317">
        <f t="shared" si="133"/>
        <v>72.241813000000008</v>
      </c>
      <c r="H183" s="317">
        <f t="shared" si="133"/>
        <v>76.794371661400007</v>
      </c>
      <c r="I183" s="317">
        <f t="shared" si="133"/>
        <v>77.740542626814928</v>
      </c>
      <c r="J183" s="317">
        <f t="shared" si="133"/>
        <v>78.492940564376681</v>
      </c>
      <c r="K183" s="317">
        <f t="shared" si="133"/>
        <v>78.803303123353885</v>
      </c>
      <c r="L183" s="317">
        <f t="shared" si="133"/>
        <v>79.128501012650219</v>
      </c>
      <c r="M183" s="317">
        <f t="shared" si="133"/>
        <v>81.381243361054899</v>
      </c>
      <c r="N183" s="317">
        <f t="shared" si="133"/>
        <v>82.785666793713318</v>
      </c>
      <c r="O183" s="420">
        <f t="shared" si="133"/>
        <v>84.257221666452821</v>
      </c>
    </row>
    <row r="184" spans="2:15" ht="24" customHeight="1" outlineLevel="1" x14ac:dyDescent="0.2">
      <c r="B184" s="418" t="s">
        <v>241</v>
      </c>
      <c r="C184" s="377">
        <f>C182/C177</f>
        <v>0.19654427645788336</v>
      </c>
      <c r="D184" s="377">
        <f t="shared" ref="D184" si="134">D182/D177</f>
        <v>0.44630071599045346</v>
      </c>
      <c r="E184" s="377">
        <f>E182/E177</f>
        <v>0.20518518518518519</v>
      </c>
      <c r="F184" s="427">
        <v>0.2</v>
      </c>
      <c r="G184" s="427">
        <v>0.2</v>
      </c>
      <c r="H184" s="427">
        <v>0.2</v>
      </c>
      <c r="I184" s="427">
        <v>0.2</v>
      </c>
      <c r="J184" s="427">
        <v>0.2</v>
      </c>
      <c r="K184" s="427">
        <v>0.2</v>
      </c>
      <c r="L184" s="427">
        <v>0.2</v>
      </c>
      <c r="M184" s="427">
        <v>0.2</v>
      </c>
      <c r="N184" s="427">
        <v>0.2</v>
      </c>
      <c r="O184" s="428">
        <v>0.2</v>
      </c>
    </row>
    <row r="185" spans="2:15" ht="24" customHeight="1" outlineLevel="1" x14ac:dyDescent="0.2">
      <c r="B185" s="429" t="s">
        <v>242</v>
      </c>
      <c r="C185" s="455">
        <v>3.9E-2</v>
      </c>
      <c r="D185" s="455">
        <v>5.3100000000000001E-2</v>
      </c>
      <c r="E185" s="455">
        <v>4.7800000000000002E-2</v>
      </c>
      <c r="F185" s="456">
        <f t="shared" ref="F185:O185" si="135">E185</f>
        <v>4.7800000000000002E-2</v>
      </c>
      <c r="G185" s="456">
        <f t="shared" si="135"/>
        <v>4.7800000000000002E-2</v>
      </c>
      <c r="H185" s="456">
        <f t="shared" si="135"/>
        <v>4.7800000000000002E-2</v>
      </c>
      <c r="I185" s="456">
        <f>H185</f>
        <v>4.7800000000000002E-2</v>
      </c>
      <c r="J185" s="456">
        <f t="shared" si="135"/>
        <v>4.7800000000000002E-2</v>
      </c>
      <c r="K185" s="456">
        <f t="shared" si="135"/>
        <v>4.7800000000000002E-2</v>
      </c>
      <c r="L185" s="456">
        <f t="shared" si="135"/>
        <v>4.7800000000000002E-2</v>
      </c>
      <c r="M185" s="456">
        <f t="shared" si="135"/>
        <v>4.7800000000000002E-2</v>
      </c>
      <c r="N185" s="456">
        <f t="shared" si="135"/>
        <v>4.7800000000000002E-2</v>
      </c>
      <c r="O185" s="457">
        <f t="shared" si="135"/>
        <v>4.7800000000000002E-2</v>
      </c>
    </row>
    <row r="186" spans="2:15" ht="24" customHeight="1" outlineLevel="1" x14ac:dyDescent="0.2">
      <c r="B186" s="333"/>
      <c r="C186" s="344"/>
      <c r="D186" s="344"/>
      <c r="E186" s="344"/>
      <c r="F186" s="347"/>
      <c r="G186" s="347"/>
      <c r="H186" s="347"/>
      <c r="I186" s="347"/>
      <c r="J186" s="347"/>
      <c r="K186" s="347"/>
      <c r="L186" s="347"/>
      <c r="M186" s="347"/>
      <c r="N186" s="347"/>
      <c r="O186" s="347"/>
    </row>
    <row r="187" spans="2:15" ht="24" customHeight="1" outlineLevel="1" x14ac:dyDescent="0.2">
      <c r="B187" s="539" t="s">
        <v>243</v>
      </c>
      <c r="C187" s="443" t="str">
        <f>C$4</f>
        <v>2023A</v>
      </c>
      <c r="D187" s="443" t="str">
        <f t="shared" ref="D187:O187" si="136">D$4</f>
        <v>2024A</v>
      </c>
      <c r="E187" s="443" t="str">
        <f t="shared" si="136"/>
        <v>2025A</v>
      </c>
      <c r="F187" s="443" t="str">
        <f t="shared" si="136"/>
        <v>2026P</v>
      </c>
      <c r="G187" s="443" t="str">
        <f t="shared" si="136"/>
        <v>2027P</v>
      </c>
      <c r="H187" s="443" t="str">
        <f t="shared" si="136"/>
        <v>2028P</v>
      </c>
      <c r="I187" s="443" t="str">
        <f t="shared" si="136"/>
        <v xml:space="preserve">2029P </v>
      </c>
      <c r="J187" s="443" t="str">
        <f t="shared" si="136"/>
        <v>2030P</v>
      </c>
      <c r="K187" s="443" t="str">
        <f t="shared" si="136"/>
        <v>2031P</v>
      </c>
      <c r="L187" s="443" t="str">
        <f t="shared" si="136"/>
        <v>2032P</v>
      </c>
      <c r="M187" s="443" t="str">
        <f t="shared" si="136"/>
        <v xml:space="preserve">2033P </v>
      </c>
      <c r="N187" s="443" t="str">
        <f t="shared" si="136"/>
        <v>2034P</v>
      </c>
      <c r="O187" s="444" t="str">
        <f t="shared" si="136"/>
        <v>2035P</v>
      </c>
    </row>
    <row r="188" spans="2:15" ht="24" customHeight="1" outlineLevel="1" x14ac:dyDescent="0.2">
      <c r="B188" s="418" t="s">
        <v>244</v>
      </c>
      <c r="C188" s="419">
        <v>2223</v>
      </c>
      <c r="D188" s="317">
        <f t="shared" ref="D188:O188" si="137">C193</f>
        <v>2154</v>
      </c>
      <c r="E188" s="317">
        <f t="shared" si="137"/>
        <v>2521</v>
      </c>
      <c r="F188" s="317">
        <f t="shared" si="137"/>
        <v>2530</v>
      </c>
      <c r="G188" s="317">
        <f t="shared" si="137"/>
        <v>3244.1395000000002</v>
      </c>
      <c r="H188" s="317">
        <f t="shared" si="137"/>
        <v>4173.5935614999999</v>
      </c>
      <c r="I188" s="317">
        <f t="shared" si="137"/>
        <v>5199.8279956554998</v>
      </c>
      <c r="J188" s="317">
        <f t="shared" si="137"/>
        <v>6262.8734482312129</v>
      </c>
      <c r="K188" s="317">
        <f t="shared" si="137"/>
        <v>8179.5034249254286</v>
      </c>
      <c r="L188" s="317">
        <f t="shared" si="137"/>
        <v>9912.9431317766448</v>
      </c>
      <c r="M188" s="317">
        <f t="shared" si="137"/>
        <v>11500.448494791293</v>
      </c>
      <c r="N188" s="317">
        <f t="shared" si="137"/>
        <v>12958.645645747543</v>
      </c>
      <c r="O188" s="420">
        <f t="shared" si="137"/>
        <v>14263.147388112831</v>
      </c>
    </row>
    <row r="189" spans="2:15" ht="24" customHeight="1" outlineLevel="1" x14ac:dyDescent="0.2">
      <c r="B189" s="418" t="s">
        <v>245</v>
      </c>
      <c r="C189" s="317">
        <f>C191-C190</f>
        <v>0</v>
      </c>
      <c r="D189" s="317">
        <f t="shared" ref="D189:O189" si="138">D191-D190</f>
        <v>0</v>
      </c>
      <c r="E189" s="317">
        <f t="shared" si="138"/>
        <v>49</v>
      </c>
      <c r="F189" s="317">
        <f t="shared" si="138"/>
        <v>714.1395</v>
      </c>
      <c r="G189" s="317">
        <f t="shared" si="138"/>
        <v>929.45406149999985</v>
      </c>
      <c r="H189" s="317">
        <f t="shared" si="138"/>
        <v>1026.2344341554999</v>
      </c>
      <c r="I189" s="317">
        <f t="shared" si="138"/>
        <v>1063.0454525757134</v>
      </c>
      <c r="J189" s="317">
        <f t="shared" si="138"/>
        <v>1916.6299766942154</v>
      </c>
      <c r="K189" s="317">
        <f t="shared" si="138"/>
        <v>1733.4397068512169</v>
      </c>
      <c r="L189" s="317">
        <f t="shared" si="138"/>
        <v>1587.5053630146485</v>
      </c>
      <c r="M189" s="317">
        <f t="shared" si="138"/>
        <v>1458.1971509562491</v>
      </c>
      <c r="N189" s="317">
        <f t="shared" si="138"/>
        <v>1304.5017423652889</v>
      </c>
      <c r="O189" s="420">
        <f t="shared" si="138"/>
        <v>1178.6479710895892</v>
      </c>
    </row>
    <row r="190" spans="2:15" ht="24" customHeight="1" x14ac:dyDescent="0.35">
      <c r="B190" s="418" t="s">
        <v>246</v>
      </c>
      <c r="C190" s="380">
        <f>IF(C191&gt;-C192,-C192,C191)</f>
        <v>452</v>
      </c>
      <c r="D190" s="380">
        <f t="shared" ref="D190:O190" si="139">IF(D191&gt;-D192,-D192,D191)</f>
        <v>548</v>
      </c>
      <c r="E190" s="380">
        <f t="shared" si="139"/>
        <v>574</v>
      </c>
      <c r="F190" s="380">
        <f t="shared" si="139"/>
        <v>614.79</v>
      </c>
      <c r="G190" s="380">
        <f t="shared" si="139"/>
        <v>788.32589849999999</v>
      </c>
      <c r="H190" s="380">
        <f t="shared" si="139"/>
        <v>1014.1832354444999</v>
      </c>
      <c r="I190" s="380">
        <f t="shared" si="139"/>
        <v>1263.5582029442864</v>
      </c>
      <c r="J190" s="380">
        <f t="shared" si="139"/>
        <v>1521.8782479201848</v>
      </c>
      <c r="K190" s="380">
        <f t="shared" si="139"/>
        <v>1987.619332256879</v>
      </c>
      <c r="L190" s="380">
        <f t="shared" si="139"/>
        <v>2408.8451810217248</v>
      </c>
      <c r="M190" s="380">
        <f t="shared" si="139"/>
        <v>2794.6089842342844</v>
      </c>
      <c r="N190" s="380">
        <f t="shared" si="139"/>
        <v>3148.9508919166528</v>
      </c>
      <c r="O190" s="425">
        <f t="shared" si="139"/>
        <v>3465.9448153114181</v>
      </c>
    </row>
    <row r="191" spans="2:15" ht="24" customHeight="1" outlineLevel="1" x14ac:dyDescent="0.2">
      <c r="B191" s="418" t="s">
        <v>247</v>
      </c>
      <c r="C191" s="419">
        <v>452</v>
      </c>
      <c r="D191" s="419">
        <v>548</v>
      </c>
      <c r="E191" s="419">
        <v>623</v>
      </c>
      <c r="F191" s="317">
        <f t="shared" ref="F191:O191" si="140">F194*F13</f>
        <v>1328.9295</v>
      </c>
      <c r="G191" s="317">
        <f t="shared" si="140"/>
        <v>1717.7799599999998</v>
      </c>
      <c r="H191" s="317">
        <f t="shared" si="140"/>
        <v>2040.4176696</v>
      </c>
      <c r="I191" s="317">
        <f t="shared" si="140"/>
        <v>2326.6036555199998</v>
      </c>
      <c r="J191" s="317">
        <f t="shared" si="140"/>
        <v>3438.5082246144002</v>
      </c>
      <c r="K191" s="317">
        <f t="shared" si="140"/>
        <v>3721.0590391080959</v>
      </c>
      <c r="L191" s="317">
        <f t="shared" si="140"/>
        <v>3996.3505440363733</v>
      </c>
      <c r="M191" s="317">
        <f t="shared" si="140"/>
        <v>4252.8061351905335</v>
      </c>
      <c r="N191" s="317">
        <f t="shared" si="140"/>
        <v>4453.4526342819418</v>
      </c>
      <c r="O191" s="420">
        <f t="shared" si="140"/>
        <v>4644.5927864010073</v>
      </c>
    </row>
    <row r="192" spans="2:15" ht="24" customHeight="1" outlineLevel="1" x14ac:dyDescent="0.35">
      <c r="B192" s="418" t="s">
        <v>248</v>
      </c>
      <c r="C192" s="424">
        <v>-502</v>
      </c>
      <c r="D192" s="424">
        <v>-593</v>
      </c>
      <c r="E192" s="424">
        <v>-574</v>
      </c>
      <c r="F192" s="380">
        <f t="shared" ref="F192:O192" si="141">-F195*F188</f>
        <v>-614.79</v>
      </c>
      <c r="G192" s="380">
        <f t="shared" si="141"/>
        <v>-788.32589849999999</v>
      </c>
      <c r="H192" s="380">
        <f t="shared" si="141"/>
        <v>-1014.1832354444999</v>
      </c>
      <c r="I192" s="380">
        <f t="shared" si="141"/>
        <v>-1263.5582029442864</v>
      </c>
      <c r="J192" s="380">
        <f t="shared" si="141"/>
        <v>-1521.8782479201848</v>
      </c>
      <c r="K192" s="380">
        <f t="shared" si="141"/>
        <v>-1987.619332256879</v>
      </c>
      <c r="L192" s="380">
        <f t="shared" si="141"/>
        <v>-2408.8451810217248</v>
      </c>
      <c r="M192" s="380">
        <f t="shared" si="141"/>
        <v>-2794.6089842342844</v>
      </c>
      <c r="N192" s="380">
        <f t="shared" si="141"/>
        <v>-3148.9508919166528</v>
      </c>
      <c r="O192" s="425">
        <f t="shared" si="141"/>
        <v>-3465.9448153114181</v>
      </c>
    </row>
    <row r="193" spans="2:15" ht="24" customHeight="1" outlineLevel="1" x14ac:dyDescent="0.2">
      <c r="B193" s="418" t="s">
        <v>249</v>
      </c>
      <c r="C193" s="419">
        <v>2154</v>
      </c>
      <c r="D193" s="419">
        <v>2521</v>
      </c>
      <c r="E193" s="419">
        <v>2530</v>
      </c>
      <c r="F193" s="317">
        <f t="shared" ref="F193:O193" si="142">F188+F191+F192</f>
        <v>3244.1395000000002</v>
      </c>
      <c r="G193" s="317">
        <f t="shared" si="142"/>
        <v>4173.5935614999999</v>
      </c>
      <c r="H193" s="317">
        <f t="shared" si="142"/>
        <v>5199.8279956554998</v>
      </c>
      <c r="I193" s="317">
        <f t="shared" si="142"/>
        <v>6262.8734482312129</v>
      </c>
      <c r="J193" s="317">
        <f t="shared" si="142"/>
        <v>8179.5034249254286</v>
      </c>
      <c r="K193" s="317">
        <f t="shared" si="142"/>
        <v>9912.9431317766448</v>
      </c>
      <c r="L193" s="317">
        <f t="shared" si="142"/>
        <v>11500.448494791293</v>
      </c>
      <c r="M193" s="317">
        <f t="shared" si="142"/>
        <v>12958.645645747543</v>
      </c>
      <c r="N193" s="317">
        <f t="shared" si="142"/>
        <v>14263.147388112831</v>
      </c>
      <c r="O193" s="420">
        <f t="shared" si="142"/>
        <v>15441.795359202421</v>
      </c>
    </row>
    <row r="194" spans="2:15" ht="24" customHeight="1" outlineLevel="1" x14ac:dyDescent="0.2">
      <c r="B194" s="418" t="s">
        <v>250</v>
      </c>
      <c r="C194" s="377">
        <f>C191/C13</f>
        <v>1.2619001088807615E-2</v>
      </c>
      <c r="D194" s="377">
        <f>D191/D13</f>
        <v>1.062550897739171E-2</v>
      </c>
      <c r="E194" s="377">
        <f>E191/E13</f>
        <v>9.7515926557828671E-3</v>
      </c>
      <c r="F194" s="427">
        <v>1.4999999999999999E-2</v>
      </c>
      <c r="G194" s="427">
        <v>1.4999999999999999E-2</v>
      </c>
      <c r="H194" s="427">
        <v>1.4999999999999999E-2</v>
      </c>
      <c r="I194" s="427">
        <v>1.4999999999999999E-2</v>
      </c>
      <c r="J194" s="427">
        <v>0.02</v>
      </c>
      <c r="K194" s="427">
        <v>0.02</v>
      </c>
      <c r="L194" s="427">
        <v>0.02</v>
      </c>
      <c r="M194" s="427">
        <v>0.02</v>
      </c>
      <c r="N194" s="427">
        <v>0.02</v>
      </c>
      <c r="O194" s="428">
        <v>0.02</v>
      </c>
    </row>
    <row r="195" spans="2:15" ht="24" customHeight="1" outlineLevel="1" x14ac:dyDescent="0.2">
      <c r="B195" s="429" t="s">
        <v>251</v>
      </c>
      <c r="C195" s="453">
        <f>-C192/C188</f>
        <v>0.22582096266306792</v>
      </c>
      <c r="D195" s="453">
        <f t="shared" ref="D195:E195" si="143">-D192/D188</f>
        <v>0.27530176415970287</v>
      </c>
      <c r="E195" s="453">
        <f t="shared" si="143"/>
        <v>0.22768742562475208</v>
      </c>
      <c r="F195" s="431">
        <v>0.24299999999999999</v>
      </c>
      <c r="G195" s="431">
        <v>0.24299999999999999</v>
      </c>
      <c r="H195" s="431">
        <v>0.24299999999999999</v>
      </c>
      <c r="I195" s="431">
        <v>0.24299999999999999</v>
      </c>
      <c r="J195" s="431">
        <v>0.24299999999999999</v>
      </c>
      <c r="K195" s="431">
        <v>0.24299999999999999</v>
      </c>
      <c r="L195" s="431">
        <v>0.24299999999999999</v>
      </c>
      <c r="M195" s="431">
        <v>0.24299999999999999</v>
      </c>
      <c r="N195" s="431">
        <v>0.24299999999999999</v>
      </c>
      <c r="O195" s="432">
        <v>0.24299999999999999</v>
      </c>
    </row>
    <row r="196" spans="2:15" ht="24" customHeight="1" outlineLevel="1" x14ac:dyDescent="0.2">
      <c r="B196" s="333"/>
      <c r="C196" s="344"/>
      <c r="D196" s="344"/>
      <c r="E196" s="344"/>
      <c r="F196" s="347"/>
      <c r="G196" s="347"/>
      <c r="H196" s="347"/>
      <c r="I196" s="347"/>
      <c r="J196" s="347"/>
      <c r="K196" s="347"/>
      <c r="L196" s="347"/>
      <c r="M196" s="347"/>
      <c r="N196" s="347"/>
      <c r="O196" s="347"/>
    </row>
    <row r="197" spans="2:15" ht="24" customHeight="1" outlineLevel="1" x14ac:dyDescent="0.2">
      <c r="B197" s="539" t="s">
        <v>252</v>
      </c>
      <c r="C197" s="443" t="str">
        <f t="shared" ref="C197:O197" si="144">C$4</f>
        <v>2023A</v>
      </c>
      <c r="D197" s="443" t="str">
        <f t="shared" si="144"/>
        <v>2024A</v>
      </c>
      <c r="E197" s="443" t="str">
        <f t="shared" si="144"/>
        <v>2025A</v>
      </c>
      <c r="F197" s="443" t="str">
        <f t="shared" si="144"/>
        <v>2026P</v>
      </c>
      <c r="G197" s="443" t="str">
        <f t="shared" si="144"/>
        <v>2027P</v>
      </c>
      <c r="H197" s="443" t="str">
        <f t="shared" si="144"/>
        <v>2028P</v>
      </c>
      <c r="I197" s="443" t="str">
        <f t="shared" si="144"/>
        <v xml:space="preserve">2029P </v>
      </c>
      <c r="J197" s="443" t="str">
        <f t="shared" si="144"/>
        <v>2030P</v>
      </c>
      <c r="K197" s="443" t="str">
        <f t="shared" si="144"/>
        <v>2031P</v>
      </c>
      <c r="L197" s="443" t="str">
        <f t="shared" si="144"/>
        <v>2032P</v>
      </c>
      <c r="M197" s="443" t="str">
        <f t="shared" si="144"/>
        <v xml:space="preserve">2033P </v>
      </c>
      <c r="N197" s="443" t="str">
        <f t="shared" si="144"/>
        <v>2034P</v>
      </c>
      <c r="O197" s="444" t="str">
        <f t="shared" si="144"/>
        <v>2035P</v>
      </c>
    </row>
    <row r="198" spans="2:15" ht="24" customHeight="1" outlineLevel="1" x14ac:dyDescent="0.2">
      <c r="B198" s="418" t="s">
        <v>253</v>
      </c>
      <c r="C198" s="445">
        <v>43614</v>
      </c>
      <c r="D198" s="446">
        <f t="shared" ref="D198:O198" si="145">C204</f>
        <v>43653</v>
      </c>
      <c r="E198" s="446">
        <f t="shared" si="145"/>
        <v>97873</v>
      </c>
      <c r="F198" s="446">
        <f t="shared" si="145"/>
        <v>97801</v>
      </c>
      <c r="G198" s="446">
        <f t="shared" si="145"/>
        <v>97801</v>
      </c>
      <c r="H198" s="446">
        <f t="shared" si="145"/>
        <v>97801</v>
      </c>
      <c r="I198" s="446">
        <f t="shared" si="145"/>
        <v>97801</v>
      </c>
      <c r="J198" s="446">
        <f t="shared" si="145"/>
        <v>97801</v>
      </c>
      <c r="K198" s="446">
        <f t="shared" si="145"/>
        <v>97801</v>
      </c>
      <c r="L198" s="446">
        <f t="shared" si="145"/>
        <v>97801</v>
      </c>
      <c r="M198" s="446">
        <f t="shared" si="145"/>
        <v>97801</v>
      </c>
      <c r="N198" s="446">
        <f t="shared" si="145"/>
        <v>97801</v>
      </c>
      <c r="O198" s="447">
        <f t="shared" si="145"/>
        <v>97801</v>
      </c>
    </row>
    <row r="199" spans="2:15" ht="24" customHeight="1" outlineLevel="1" x14ac:dyDescent="0.2">
      <c r="B199" s="418" t="s">
        <v>254</v>
      </c>
      <c r="C199" s="445">
        <v>0</v>
      </c>
      <c r="D199" s="445">
        <v>54206</v>
      </c>
      <c r="E199" s="446"/>
      <c r="F199" s="343"/>
      <c r="G199" s="343"/>
      <c r="H199" s="343"/>
      <c r="I199" s="343"/>
      <c r="J199" s="343"/>
      <c r="K199" s="343"/>
      <c r="L199" s="343"/>
      <c r="M199" s="343"/>
      <c r="N199" s="343"/>
      <c r="O199" s="421"/>
    </row>
    <row r="200" spans="2:15" ht="24" customHeight="1" x14ac:dyDescent="0.2">
      <c r="B200" s="418" t="s">
        <v>255</v>
      </c>
      <c r="C200" s="445">
        <v>0</v>
      </c>
      <c r="D200" s="445">
        <v>14</v>
      </c>
      <c r="E200" s="446"/>
      <c r="F200" s="343"/>
      <c r="G200" s="343"/>
      <c r="H200" s="343"/>
      <c r="I200" s="343"/>
      <c r="J200" s="343"/>
      <c r="K200" s="343"/>
      <c r="L200" s="343"/>
      <c r="M200" s="343"/>
      <c r="N200" s="343"/>
      <c r="O200" s="421"/>
    </row>
    <row r="201" spans="2:15" ht="24" customHeight="1" outlineLevel="1" x14ac:dyDescent="0.2">
      <c r="B201" s="418" t="s">
        <v>256</v>
      </c>
      <c r="C201" s="445">
        <v>39</v>
      </c>
      <c r="D201" s="445">
        <v>0</v>
      </c>
      <c r="E201" s="445">
        <v>0</v>
      </c>
      <c r="F201" s="343">
        <v>0</v>
      </c>
      <c r="G201" s="343">
        <v>0</v>
      </c>
      <c r="H201" s="343">
        <v>0</v>
      </c>
      <c r="I201" s="343">
        <v>0</v>
      </c>
      <c r="J201" s="343">
        <v>0</v>
      </c>
      <c r="K201" s="343">
        <v>0</v>
      </c>
      <c r="L201" s="343">
        <v>0</v>
      </c>
      <c r="M201" s="343">
        <v>0</v>
      </c>
      <c r="N201" s="343">
        <v>0</v>
      </c>
      <c r="O201" s="421">
        <v>0</v>
      </c>
    </row>
    <row r="202" spans="2:15" ht="24" customHeight="1" outlineLevel="1" x14ac:dyDescent="0.2">
      <c r="B202" s="418" t="s">
        <v>257</v>
      </c>
      <c r="C202" s="445">
        <v>0</v>
      </c>
      <c r="D202" s="445">
        <v>0</v>
      </c>
      <c r="E202" s="445">
        <v>-72</v>
      </c>
      <c r="F202" s="343">
        <v>0</v>
      </c>
      <c r="G202" s="343">
        <v>0</v>
      </c>
      <c r="H202" s="343">
        <v>0</v>
      </c>
      <c r="I202" s="343">
        <v>0</v>
      </c>
      <c r="J202" s="343">
        <v>0</v>
      </c>
      <c r="K202" s="343">
        <v>0</v>
      </c>
      <c r="L202" s="343">
        <v>0</v>
      </c>
      <c r="M202" s="343">
        <v>0</v>
      </c>
      <c r="N202" s="343">
        <v>0</v>
      </c>
      <c r="O202" s="421">
        <v>0</v>
      </c>
    </row>
    <row r="203" spans="2:15" ht="24" customHeight="1" outlineLevel="1" x14ac:dyDescent="0.2">
      <c r="B203" s="418" t="s">
        <v>258</v>
      </c>
      <c r="C203" s="445">
        <v>0</v>
      </c>
      <c r="D203" s="445">
        <v>0</v>
      </c>
      <c r="E203" s="445">
        <v>0</v>
      </c>
      <c r="F203" s="343">
        <v>0</v>
      </c>
      <c r="G203" s="343">
        <v>0</v>
      </c>
      <c r="H203" s="343">
        <v>0</v>
      </c>
      <c r="I203" s="343">
        <v>0</v>
      </c>
      <c r="J203" s="343">
        <v>0</v>
      </c>
      <c r="K203" s="343">
        <v>0</v>
      </c>
      <c r="L203" s="343">
        <v>0</v>
      </c>
      <c r="M203" s="343">
        <v>0</v>
      </c>
      <c r="N203" s="343">
        <v>0</v>
      </c>
      <c r="O203" s="421">
        <v>0</v>
      </c>
    </row>
    <row r="204" spans="2:15" ht="24" customHeight="1" outlineLevel="1" x14ac:dyDescent="0.2">
      <c r="B204" s="429" t="s">
        <v>259</v>
      </c>
      <c r="C204" s="451">
        <f t="shared" ref="C204:O204" si="146">SUM(C198:C203)</f>
        <v>43653</v>
      </c>
      <c r="D204" s="451">
        <f t="shared" si="146"/>
        <v>97873</v>
      </c>
      <c r="E204" s="451">
        <f t="shared" si="146"/>
        <v>97801</v>
      </c>
      <c r="F204" s="451">
        <f t="shared" si="146"/>
        <v>97801</v>
      </c>
      <c r="G204" s="451">
        <f t="shared" si="146"/>
        <v>97801</v>
      </c>
      <c r="H204" s="451">
        <f t="shared" si="146"/>
        <v>97801</v>
      </c>
      <c r="I204" s="451">
        <f t="shared" si="146"/>
        <v>97801</v>
      </c>
      <c r="J204" s="451">
        <f t="shared" si="146"/>
        <v>97801</v>
      </c>
      <c r="K204" s="451">
        <f t="shared" si="146"/>
        <v>97801</v>
      </c>
      <c r="L204" s="451">
        <f t="shared" si="146"/>
        <v>97801</v>
      </c>
      <c r="M204" s="451">
        <f t="shared" si="146"/>
        <v>97801</v>
      </c>
      <c r="N204" s="451">
        <f t="shared" si="146"/>
        <v>97801</v>
      </c>
      <c r="O204" s="452">
        <f t="shared" si="146"/>
        <v>97801</v>
      </c>
    </row>
    <row r="205" spans="2:15" ht="24" customHeight="1" outlineLevel="1" x14ac:dyDescent="0.2">
      <c r="B205" s="333"/>
      <c r="C205" s="344"/>
      <c r="D205" s="344"/>
      <c r="E205" s="344"/>
      <c r="F205" s="347"/>
      <c r="G205" s="347"/>
      <c r="H205" s="347"/>
      <c r="I205" s="347"/>
      <c r="J205" s="347"/>
      <c r="K205" s="347"/>
      <c r="L205" s="347"/>
      <c r="M205" s="347"/>
      <c r="N205" s="347"/>
      <c r="O205" s="347"/>
    </row>
    <row r="206" spans="2:15" ht="24" customHeight="1" outlineLevel="1" x14ac:dyDescent="0.2">
      <c r="B206" s="539" t="s">
        <v>260</v>
      </c>
      <c r="C206" s="443" t="str">
        <f t="shared" ref="C206:O206" si="147">C$4</f>
        <v>2023A</v>
      </c>
      <c r="D206" s="443" t="str">
        <f t="shared" si="147"/>
        <v>2024A</v>
      </c>
      <c r="E206" s="443" t="str">
        <f t="shared" si="147"/>
        <v>2025A</v>
      </c>
      <c r="F206" s="443" t="str">
        <f t="shared" si="147"/>
        <v>2026P</v>
      </c>
      <c r="G206" s="443" t="str">
        <f t="shared" si="147"/>
        <v>2027P</v>
      </c>
      <c r="H206" s="443" t="str">
        <f t="shared" si="147"/>
        <v>2028P</v>
      </c>
      <c r="I206" s="443" t="str">
        <f t="shared" si="147"/>
        <v xml:space="preserve">2029P </v>
      </c>
      <c r="J206" s="443" t="str">
        <f t="shared" si="147"/>
        <v>2030P</v>
      </c>
      <c r="K206" s="443" t="str">
        <f t="shared" si="147"/>
        <v>2031P</v>
      </c>
      <c r="L206" s="443" t="str">
        <f t="shared" si="147"/>
        <v>2032P</v>
      </c>
      <c r="M206" s="443" t="str">
        <f t="shared" si="147"/>
        <v xml:space="preserve">2033P </v>
      </c>
      <c r="N206" s="443" t="str">
        <f t="shared" si="147"/>
        <v>2034P</v>
      </c>
      <c r="O206" s="444" t="str">
        <f t="shared" si="147"/>
        <v>2035P</v>
      </c>
    </row>
    <row r="207" spans="2:15" ht="24" customHeight="1" outlineLevel="1" x14ac:dyDescent="0.2">
      <c r="B207" s="418" t="s">
        <v>261</v>
      </c>
      <c r="C207" s="445">
        <v>1797</v>
      </c>
      <c r="D207" s="446">
        <f t="shared" ref="D207:O207" si="148">C211</f>
        <v>1877</v>
      </c>
      <c r="E207" s="446">
        <f t="shared" si="148"/>
        <v>3748</v>
      </c>
      <c r="F207" s="446">
        <f t="shared" si="148"/>
        <v>5597</v>
      </c>
      <c r="G207" s="446">
        <f t="shared" si="148"/>
        <v>5597</v>
      </c>
      <c r="H207" s="446">
        <f t="shared" si="148"/>
        <v>5597</v>
      </c>
      <c r="I207" s="446">
        <f t="shared" si="148"/>
        <v>5597</v>
      </c>
      <c r="J207" s="446">
        <f t="shared" si="148"/>
        <v>5597</v>
      </c>
      <c r="K207" s="446">
        <f t="shared" si="148"/>
        <v>5597</v>
      </c>
      <c r="L207" s="446">
        <f t="shared" si="148"/>
        <v>5597</v>
      </c>
      <c r="M207" s="446">
        <f t="shared" si="148"/>
        <v>5597</v>
      </c>
      <c r="N207" s="446">
        <f t="shared" si="148"/>
        <v>5597</v>
      </c>
      <c r="O207" s="447">
        <f t="shared" si="148"/>
        <v>5597</v>
      </c>
    </row>
    <row r="208" spans="2:15" ht="24" customHeight="1" outlineLevel="1" x14ac:dyDescent="0.2">
      <c r="B208" s="418" t="s">
        <v>262</v>
      </c>
      <c r="C208" s="445">
        <v>543</v>
      </c>
      <c r="D208" s="445">
        <v>3196</v>
      </c>
      <c r="E208" s="445">
        <v>3167</v>
      </c>
      <c r="F208" s="343">
        <v>0</v>
      </c>
      <c r="G208" s="343">
        <v>0</v>
      </c>
      <c r="H208" s="343">
        <v>0</v>
      </c>
      <c r="I208" s="343">
        <v>0</v>
      </c>
      <c r="J208" s="343">
        <v>0</v>
      </c>
      <c r="K208" s="343">
        <v>0</v>
      </c>
      <c r="L208" s="343">
        <v>0</v>
      </c>
      <c r="M208" s="343">
        <v>0</v>
      </c>
      <c r="N208" s="343">
        <v>0</v>
      </c>
      <c r="O208" s="421">
        <v>0</v>
      </c>
    </row>
    <row r="209" spans="2:20" ht="24" customHeight="1" x14ac:dyDescent="0.2">
      <c r="B209" s="418" t="s">
        <v>263</v>
      </c>
      <c r="C209" s="445">
        <v>0</v>
      </c>
      <c r="D209" s="445">
        <v>0</v>
      </c>
      <c r="E209" s="445">
        <v>0</v>
      </c>
      <c r="F209" s="343">
        <v>0</v>
      </c>
      <c r="G209" s="343">
        <v>0</v>
      </c>
      <c r="H209" s="343">
        <v>0</v>
      </c>
      <c r="I209" s="343">
        <v>0</v>
      </c>
      <c r="J209" s="343">
        <v>0</v>
      </c>
      <c r="K209" s="343">
        <v>0</v>
      </c>
      <c r="L209" s="343">
        <v>0</v>
      </c>
      <c r="M209" s="343">
        <v>0</v>
      </c>
      <c r="N209" s="343">
        <v>0</v>
      </c>
      <c r="O209" s="421">
        <v>0</v>
      </c>
      <c r="R209" s="334"/>
      <c r="S209" s="334"/>
      <c r="T209" s="334"/>
    </row>
    <row r="210" spans="2:20" ht="24" customHeight="1" outlineLevel="1" x14ac:dyDescent="0.2">
      <c r="B210" s="418" t="s">
        <v>477</v>
      </c>
      <c r="C210" s="445">
        <v>-463</v>
      </c>
      <c r="D210" s="445">
        <v>-1325</v>
      </c>
      <c r="E210" s="445">
        <v>-1318</v>
      </c>
      <c r="F210" s="343"/>
      <c r="G210" s="343"/>
      <c r="H210" s="343"/>
      <c r="I210" s="343"/>
      <c r="J210" s="343"/>
      <c r="K210" s="343"/>
      <c r="L210" s="343"/>
      <c r="M210" s="343"/>
      <c r="N210" s="343"/>
      <c r="O210" s="421"/>
    </row>
    <row r="211" spans="2:20" ht="24" customHeight="1" outlineLevel="1" x14ac:dyDescent="0.35">
      <c r="B211" s="418" t="s">
        <v>264</v>
      </c>
      <c r="C211" s="448">
        <f>SUM(C207:C210)</f>
        <v>1877</v>
      </c>
      <c r="D211" s="448">
        <f>SUM(D207:D210)</f>
        <v>3748</v>
      </c>
      <c r="E211" s="448">
        <f>SUM(E207:E210)</f>
        <v>5597</v>
      </c>
      <c r="F211" s="448">
        <f t="shared" ref="F211:O211" si="149">SUM(F207:F209)</f>
        <v>5597</v>
      </c>
      <c r="G211" s="448">
        <f t="shared" si="149"/>
        <v>5597</v>
      </c>
      <c r="H211" s="448">
        <f t="shared" si="149"/>
        <v>5597</v>
      </c>
      <c r="I211" s="448">
        <f t="shared" si="149"/>
        <v>5597</v>
      </c>
      <c r="J211" s="448">
        <f t="shared" si="149"/>
        <v>5597</v>
      </c>
      <c r="K211" s="448">
        <f t="shared" si="149"/>
        <v>5597</v>
      </c>
      <c r="L211" s="448">
        <f t="shared" si="149"/>
        <v>5597</v>
      </c>
      <c r="M211" s="448">
        <f t="shared" si="149"/>
        <v>5597</v>
      </c>
      <c r="N211" s="448">
        <f t="shared" si="149"/>
        <v>5597</v>
      </c>
      <c r="O211" s="449">
        <f t="shared" si="149"/>
        <v>5597</v>
      </c>
    </row>
    <row r="212" spans="2:20" ht="24" customHeight="1" outlineLevel="1" x14ac:dyDescent="0.2">
      <c r="B212" s="418" t="s">
        <v>265</v>
      </c>
      <c r="C212" s="446"/>
      <c r="D212" s="446">
        <f t="shared" ref="D212:O212" si="150">D211-C211</f>
        <v>1871</v>
      </c>
      <c r="E212" s="446">
        <f t="shared" si="150"/>
        <v>1849</v>
      </c>
      <c r="F212" s="446">
        <f t="shared" si="150"/>
        <v>0</v>
      </c>
      <c r="G212" s="446">
        <f t="shared" si="150"/>
        <v>0</v>
      </c>
      <c r="H212" s="446">
        <f t="shared" si="150"/>
        <v>0</v>
      </c>
      <c r="I212" s="446">
        <f t="shared" si="150"/>
        <v>0</v>
      </c>
      <c r="J212" s="446">
        <f t="shared" si="150"/>
        <v>0</v>
      </c>
      <c r="K212" s="446">
        <f t="shared" si="150"/>
        <v>0</v>
      </c>
      <c r="L212" s="446">
        <f t="shared" si="150"/>
        <v>0</v>
      </c>
      <c r="M212" s="446">
        <f t="shared" si="150"/>
        <v>0</v>
      </c>
      <c r="N212" s="446">
        <f t="shared" si="150"/>
        <v>0</v>
      </c>
      <c r="O212" s="447">
        <f t="shared" si="150"/>
        <v>0</v>
      </c>
    </row>
    <row r="213" spans="2:20" ht="24" customHeight="1" outlineLevel="1" x14ac:dyDescent="0.2">
      <c r="B213" s="418"/>
      <c r="C213" s="348"/>
      <c r="D213" s="348"/>
      <c r="E213" s="348"/>
      <c r="F213" s="349"/>
      <c r="G213" s="349"/>
      <c r="H213" s="349"/>
      <c r="I213" s="349"/>
      <c r="J213" s="349"/>
      <c r="K213" s="349"/>
      <c r="L213" s="349"/>
      <c r="M213" s="349"/>
      <c r="N213" s="349"/>
      <c r="O213" s="450"/>
    </row>
    <row r="214" spans="2:20" ht="24" customHeight="1" outlineLevel="1" x14ac:dyDescent="0.2">
      <c r="B214" s="418" t="s">
        <v>266</v>
      </c>
      <c r="C214" s="445">
        <v>4413</v>
      </c>
      <c r="D214" s="446">
        <f t="shared" ref="D214:O214" si="151">C218</f>
        <v>3488</v>
      </c>
      <c r="E214" s="446">
        <f t="shared" si="151"/>
        <v>13832</v>
      </c>
      <c r="F214" s="446">
        <f t="shared" si="151"/>
        <v>8121</v>
      </c>
      <c r="G214" s="446">
        <f t="shared" si="151"/>
        <v>8121</v>
      </c>
      <c r="H214" s="446">
        <f t="shared" si="151"/>
        <v>8121</v>
      </c>
      <c r="I214" s="446">
        <f t="shared" si="151"/>
        <v>8121</v>
      </c>
      <c r="J214" s="446">
        <f t="shared" si="151"/>
        <v>8121</v>
      </c>
      <c r="K214" s="446">
        <f t="shared" si="151"/>
        <v>8121</v>
      </c>
      <c r="L214" s="446">
        <f t="shared" si="151"/>
        <v>8121</v>
      </c>
      <c r="M214" s="446">
        <f t="shared" si="151"/>
        <v>8121</v>
      </c>
      <c r="N214" s="446">
        <f t="shared" si="151"/>
        <v>8121</v>
      </c>
      <c r="O214" s="447">
        <f t="shared" si="151"/>
        <v>8121</v>
      </c>
    </row>
    <row r="215" spans="2:20" ht="24" customHeight="1" outlineLevel="1" x14ac:dyDescent="0.2">
      <c r="B215" s="418" t="s">
        <v>262</v>
      </c>
      <c r="C215" s="445">
        <v>0</v>
      </c>
      <c r="D215" s="445">
        <v>11487</v>
      </c>
      <c r="E215" s="445">
        <v>0</v>
      </c>
      <c r="F215" s="343">
        <v>0</v>
      </c>
      <c r="G215" s="343">
        <v>0</v>
      </c>
      <c r="H215" s="343">
        <v>0</v>
      </c>
      <c r="I215" s="343">
        <v>0</v>
      </c>
      <c r="J215" s="343">
        <v>0</v>
      </c>
      <c r="K215" s="343">
        <v>0</v>
      </c>
      <c r="L215" s="343">
        <v>0</v>
      </c>
      <c r="M215" s="343">
        <v>0</v>
      </c>
      <c r="N215" s="343">
        <v>0</v>
      </c>
      <c r="O215" s="421">
        <v>0</v>
      </c>
    </row>
    <row r="216" spans="2:20" ht="24" customHeight="1" outlineLevel="1" x14ac:dyDescent="0.2">
      <c r="B216" s="418" t="s">
        <v>263</v>
      </c>
      <c r="C216" s="445">
        <v>-566</v>
      </c>
      <c r="D216" s="445">
        <v>0</v>
      </c>
      <c r="E216" s="445">
        <v>-4530</v>
      </c>
      <c r="F216" s="343">
        <v>0</v>
      </c>
      <c r="G216" s="343">
        <v>0</v>
      </c>
      <c r="H216" s="343">
        <v>0</v>
      </c>
      <c r="I216" s="343">
        <v>0</v>
      </c>
      <c r="J216" s="343">
        <v>0</v>
      </c>
      <c r="K216" s="343">
        <v>0</v>
      </c>
      <c r="L216" s="343">
        <v>0</v>
      </c>
      <c r="M216" s="343">
        <v>0</v>
      </c>
      <c r="N216" s="343">
        <v>0</v>
      </c>
      <c r="O216" s="421">
        <v>0</v>
      </c>
    </row>
    <row r="217" spans="2:20" ht="24" customHeight="1" outlineLevel="1" x14ac:dyDescent="0.2">
      <c r="B217" s="418" t="s">
        <v>267</v>
      </c>
      <c r="C217" s="445">
        <v>-359</v>
      </c>
      <c r="D217" s="445">
        <v>-1143</v>
      </c>
      <c r="E217" s="445">
        <v>-1181</v>
      </c>
      <c r="F217" s="343"/>
      <c r="G217" s="343"/>
      <c r="H217" s="343"/>
      <c r="I217" s="343"/>
      <c r="J217" s="343"/>
      <c r="K217" s="343"/>
      <c r="L217" s="343"/>
      <c r="M217" s="343"/>
      <c r="N217" s="343"/>
      <c r="O217" s="421"/>
    </row>
    <row r="218" spans="2:20" ht="24" customHeight="1" outlineLevel="1" x14ac:dyDescent="0.35">
      <c r="B218" s="418" t="s">
        <v>268</v>
      </c>
      <c r="C218" s="448">
        <f>SUM(C214:C217)</f>
        <v>3488</v>
      </c>
      <c r="D218" s="448">
        <f>SUM(D214:D217)</f>
        <v>13832</v>
      </c>
      <c r="E218" s="448">
        <f>SUM(E214:E217)</f>
        <v>8121</v>
      </c>
      <c r="F218" s="448">
        <f t="shared" ref="F218:O218" si="152">SUM(F214:F216)</f>
        <v>8121</v>
      </c>
      <c r="G218" s="448">
        <f t="shared" si="152"/>
        <v>8121</v>
      </c>
      <c r="H218" s="448">
        <f t="shared" si="152"/>
        <v>8121</v>
      </c>
      <c r="I218" s="448">
        <f t="shared" si="152"/>
        <v>8121</v>
      </c>
      <c r="J218" s="448">
        <f t="shared" si="152"/>
        <v>8121</v>
      </c>
      <c r="K218" s="448">
        <f t="shared" si="152"/>
        <v>8121</v>
      </c>
      <c r="L218" s="448">
        <f t="shared" si="152"/>
        <v>8121</v>
      </c>
      <c r="M218" s="448">
        <f t="shared" si="152"/>
        <v>8121</v>
      </c>
      <c r="N218" s="448">
        <f t="shared" si="152"/>
        <v>8121</v>
      </c>
      <c r="O218" s="449">
        <f t="shared" si="152"/>
        <v>8121</v>
      </c>
    </row>
    <row r="219" spans="2:20" ht="24" customHeight="1" outlineLevel="1" x14ac:dyDescent="0.2">
      <c r="B219" s="429" t="s">
        <v>269</v>
      </c>
      <c r="C219" s="451"/>
      <c r="D219" s="451">
        <f t="shared" ref="D219:O219" si="153">D218-C218</f>
        <v>10344</v>
      </c>
      <c r="E219" s="451">
        <f t="shared" si="153"/>
        <v>-5711</v>
      </c>
      <c r="F219" s="451">
        <f t="shared" si="153"/>
        <v>0</v>
      </c>
      <c r="G219" s="451">
        <f t="shared" si="153"/>
        <v>0</v>
      </c>
      <c r="H219" s="451">
        <f t="shared" si="153"/>
        <v>0</v>
      </c>
      <c r="I219" s="451">
        <f t="shared" si="153"/>
        <v>0</v>
      </c>
      <c r="J219" s="451">
        <f t="shared" si="153"/>
        <v>0</v>
      </c>
      <c r="K219" s="451">
        <f t="shared" si="153"/>
        <v>0</v>
      </c>
      <c r="L219" s="451">
        <f t="shared" si="153"/>
        <v>0</v>
      </c>
      <c r="M219" s="451">
        <f t="shared" si="153"/>
        <v>0</v>
      </c>
      <c r="N219" s="451">
        <f t="shared" si="153"/>
        <v>0</v>
      </c>
      <c r="O219" s="452">
        <f t="shared" si="153"/>
        <v>0</v>
      </c>
    </row>
    <row r="220" spans="2:20" ht="24" customHeight="1" outlineLevel="1" thickBot="1" x14ac:dyDescent="0.25">
      <c r="B220" s="350"/>
      <c r="C220" s="350"/>
      <c r="D220" s="351"/>
      <c r="E220" s="351"/>
      <c r="F220" s="352"/>
      <c r="G220" s="352"/>
      <c r="H220" s="352"/>
      <c r="I220" s="352"/>
      <c r="J220" s="352"/>
      <c r="K220" s="352"/>
      <c r="L220" s="352"/>
      <c r="M220" s="352"/>
      <c r="N220" s="352"/>
      <c r="O220" s="352"/>
    </row>
    <row r="221" spans="2:20" ht="24" customHeight="1" outlineLevel="1" x14ac:dyDescent="0.2">
      <c r="B221" s="364" t="s">
        <v>270</v>
      </c>
      <c r="C221" s="365" t="str">
        <f>C$4</f>
        <v>2023A</v>
      </c>
      <c r="D221" s="365" t="str">
        <f t="shared" ref="D221:O221" si="154">D$4</f>
        <v>2024A</v>
      </c>
      <c r="E221" s="365" t="str">
        <f t="shared" si="154"/>
        <v>2025A</v>
      </c>
      <c r="F221" s="365" t="str">
        <f t="shared" si="154"/>
        <v>2026P</v>
      </c>
      <c r="G221" s="365" t="str">
        <f t="shared" si="154"/>
        <v>2027P</v>
      </c>
      <c r="H221" s="365" t="str">
        <f t="shared" si="154"/>
        <v>2028P</v>
      </c>
      <c r="I221" s="365" t="str">
        <f t="shared" si="154"/>
        <v xml:space="preserve">2029P </v>
      </c>
      <c r="J221" s="365" t="str">
        <f t="shared" si="154"/>
        <v>2030P</v>
      </c>
      <c r="K221" s="365" t="str">
        <f t="shared" si="154"/>
        <v>2031P</v>
      </c>
      <c r="L221" s="365" t="str">
        <f t="shared" si="154"/>
        <v>2032P</v>
      </c>
      <c r="M221" s="365" t="str">
        <f t="shared" si="154"/>
        <v xml:space="preserve">2033P </v>
      </c>
      <c r="N221" s="365" t="str">
        <f t="shared" si="154"/>
        <v>2034P</v>
      </c>
      <c r="O221" s="366" t="str">
        <f t="shared" si="154"/>
        <v>2035P</v>
      </c>
    </row>
    <row r="222" spans="2:20" ht="24" customHeight="1" outlineLevel="1" x14ac:dyDescent="0.2">
      <c r="B222" s="538" t="s">
        <v>271</v>
      </c>
      <c r="C222" s="433">
        <v>0</v>
      </c>
      <c r="D222" s="434">
        <f t="shared" ref="D222:O222" si="155">C224</f>
        <v>0</v>
      </c>
      <c r="E222" s="434">
        <f t="shared" si="155"/>
        <v>0</v>
      </c>
      <c r="F222" s="434">
        <f t="shared" si="155"/>
        <v>0</v>
      </c>
      <c r="G222" s="434">
        <f t="shared" si="155"/>
        <v>0</v>
      </c>
      <c r="H222" s="434">
        <f t="shared" si="155"/>
        <v>0</v>
      </c>
      <c r="I222" s="434">
        <f t="shared" si="155"/>
        <v>0</v>
      </c>
      <c r="J222" s="434">
        <f t="shared" si="155"/>
        <v>0</v>
      </c>
      <c r="K222" s="434">
        <f t="shared" si="155"/>
        <v>0</v>
      </c>
      <c r="L222" s="434">
        <f t="shared" si="155"/>
        <v>0</v>
      </c>
      <c r="M222" s="434">
        <f t="shared" si="155"/>
        <v>0</v>
      </c>
      <c r="N222" s="434">
        <f t="shared" si="155"/>
        <v>0</v>
      </c>
      <c r="O222" s="435">
        <f t="shared" si="155"/>
        <v>0</v>
      </c>
      <c r="R222" s="346"/>
    </row>
    <row r="223" spans="2:20" ht="24" customHeight="1" x14ac:dyDescent="0.35">
      <c r="B223" s="356" t="s">
        <v>272</v>
      </c>
      <c r="C223" s="436">
        <f t="shared" ref="C223:O223" si="156">MIN(MAX(-C128,0),C225-C222)-MIN(MAX(C128,0),C222)</f>
        <v>0</v>
      </c>
      <c r="D223" s="436">
        <f t="shared" si="156"/>
        <v>0</v>
      </c>
      <c r="E223" s="436">
        <f t="shared" si="156"/>
        <v>0</v>
      </c>
      <c r="F223" s="436">
        <f t="shared" si="156"/>
        <v>0</v>
      </c>
      <c r="G223" s="436">
        <f t="shared" si="156"/>
        <v>0</v>
      </c>
      <c r="H223" s="436">
        <f t="shared" si="156"/>
        <v>0</v>
      </c>
      <c r="I223" s="436">
        <f t="shared" si="156"/>
        <v>0</v>
      </c>
      <c r="J223" s="436">
        <f t="shared" si="156"/>
        <v>0</v>
      </c>
      <c r="K223" s="436">
        <f t="shared" si="156"/>
        <v>0</v>
      </c>
      <c r="L223" s="436">
        <f t="shared" si="156"/>
        <v>0</v>
      </c>
      <c r="M223" s="436">
        <f t="shared" si="156"/>
        <v>0</v>
      </c>
      <c r="N223" s="436">
        <f t="shared" si="156"/>
        <v>0</v>
      </c>
      <c r="O223" s="437">
        <f t="shared" si="156"/>
        <v>0</v>
      </c>
    </row>
    <row r="224" spans="2:20" ht="24" customHeight="1" x14ac:dyDescent="0.2">
      <c r="B224" s="356" t="s">
        <v>273</v>
      </c>
      <c r="C224" s="422">
        <f t="shared" ref="C224:O224" si="157">SUM(C222:C223)</f>
        <v>0</v>
      </c>
      <c r="D224" s="422">
        <f t="shared" si="157"/>
        <v>0</v>
      </c>
      <c r="E224" s="422">
        <f t="shared" si="157"/>
        <v>0</v>
      </c>
      <c r="F224" s="422">
        <f t="shared" si="157"/>
        <v>0</v>
      </c>
      <c r="G224" s="422">
        <f t="shared" si="157"/>
        <v>0</v>
      </c>
      <c r="H224" s="422">
        <f t="shared" si="157"/>
        <v>0</v>
      </c>
      <c r="I224" s="422">
        <f t="shared" si="157"/>
        <v>0</v>
      </c>
      <c r="J224" s="422">
        <f t="shared" si="157"/>
        <v>0</v>
      </c>
      <c r="K224" s="422">
        <f t="shared" si="157"/>
        <v>0</v>
      </c>
      <c r="L224" s="422">
        <f t="shared" si="157"/>
        <v>0</v>
      </c>
      <c r="M224" s="422">
        <f t="shared" si="157"/>
        <v>0</v>
      </c>
      <c r="N224" s="422">
        <f t="shared" si="157"/>
        <v>0</v>
      </c>
      <c r="O224" s="357">
        <f t="shared" si="157"/>
        <v>0</v>
      </c>
      <c r="S224" s="317"/>
    </row>
    <row r="225" spans="2:19" ht="24" customHeight="1" outlineLevel="1" x14ac:dyDescent="0.2">
      <c r="B225" s="356" t="s">
        <v>274</v>
      </c>
      <c r="C225" s="343">
        <v>4000</v>
      </c>
      <c r="D225" s="343">
        <v>4000</v>
      </c>
      <c r="E225" s="343">
        <v>4000</v>
      </c>
      <c r="F225" s="343">
        <v>4000</v>
      </c>
      <c r="G225" s="343">
        <v>4000</v>
      </c>
      <c r="H225" s="343">
        <v>4000</v>
      </c>
      <c r="I225" s="343">
        <v>4000</v>
      </c>
      <c r="J225" s="343">
        <v>4000</v>
      </c>
      <c r="K225" s="343">
        <v>4000</v>
      </c>
      <c r="L225" s="343">
        <v>4000</v>
      </c>
      <c r="M225" s="343">
        <v>4000</v>
      </c>
      <c r="N225" s="343">
        <v>4000</v>
      </c>
      <c r="O225" s="438">
        <v>4000</v>
      </c>
      <c r="S225" s="317"/>
    </row>
    <row r="226" spans="2:19" ht="24" customHeight="1" outlineLevel="1" x14ac:dyDescent="0.2">
      <c r="B226" s="356" t="s">
        <v>275</v>
      </c>
      <c r="C226" s="422">
        <f t="shared" ref="C226:O226" si="158">C227*C222</f>
        <v>0</v>
      </c>
      <c r="D226" s="422">
        <f t="shared" si="158"/>
        <v>0</v>
      </c>
      <c r="E226" s="422">
        <f t="shared" si="158"/>
        <v>0</v>
      </c>
      <c r="F226" s="422">
        <f t="shared" si="158"/>
        <v>0</v>
      </c>
      <c r="G226" s="422">
        <f t="shared" si="158"/>
        <v>0</v>
      </c>
      <c r="H226" s="422">
        <f t="shared" si="158"/>
        <v>0</v>
      </c>
      <c r="I226" s="422">
        <f t="shared" si="158"/>
        <v>0</v>
      </c>
      <c r="J226" s="422">
        <f t="shared" si="158"/>
        <v>0</v>
      </c>
      <c r="K226" s="422">
        <f t="shared" si="158"/>
        <v>0</v>
      </c>
      <c r="L226" s="422">
        <f t="shared" si="158"/>
        <v>0</v>
      </c>
      <c r="M226" s="422">
        <f t="shared" si="158"/>
        <v>0</v>
      </c>
      <c r="N226" s="422">
        <f t="shared" si="158"/>
        <v>0</v>
      </c>
      <c r="O226" s="357">
        <f t="shared" si="158"/>
        <v>0</v>
      </c>
      <c r="S226" s="317"/>
    </row>
    <row r="227" spans="2:19" ht="24" customHeight="1" outlineLevel="1" x14ac:dyDescent="0.2">
      <c r="B227" s="356" t="s">
        <v>276</v>
      </c>
      <c r="C227" s="427">
        <v>5.2999999999999999E-2</v>
      </c>
      <c r="D227" s="427">
        <f t="shared" ref="D227:O227" si="159">C227</f>
        <v>5.2999999999999999E-2</v>
      </c>
      <c r="E227" s="427">
        <f t="shared" si="159"/>
        <v>5.2999999999999999E-2</v>
      </c>
      <c r="F227" s="427">
        <f t="shared" si="159"/>
        <v>5.2999999999999999E-2</v>
      </c>
      <c r="G227" s="427">
        <f t="shared" si="159"/>
        <v>5.2999999999999999E-2</v>
      </c>
      <c r="H227" s="427">
        <f t="shared" si="159"/>
        <v>5.2999999999999999E-2</v>
      </c>
      <c r="I227" s="427">
        <f t="shared" si="159"/>
        <v>5.2999999999999999E-2</v>
      </c>
      <c r="J227" s="427">
        <f t="shared" si="159"/>
        <v>5.2999999999999999E-2</v>
      </c>
      <c r="K227" s="427">
        <f t="shared" si="159"/>
        <v>5.2999999999999999E-2</v>
      </c>
      <c r="L227" s="427">
        <f t="shared" si="159"/>
        <v>5.2999999999999999E-2</v>
      </c>
      <c r="M227" s="427">
        <f t="shared" si="159"/>
        <v>5.2999999999999999E-2</v>
      </c>
      <c r="N227" s="427">
        <f t="shared" si="159"/>
        <v>5.2999999999999999E-2</v>
      </c>
      <c r="O227" s="439">
        <f t="shared" si="159"/>
        <v>5.2999999999999999E-2</v>
      </c>
      <c r="S227" s="317"/>
    </row>
    <row r="228" spans="2:19" ht="24" customHeight="1" outlineLevel="1" x14ac:dyDescent="0.2">
      <c r="B228" s="538" t="s">
        <v>277</v>
      </c>
      <c r="C228" s="433">
        <v>0</v>
      </c>
      <c r="D228" s="434">
        <f t="shared" ref="D228:O228" si="160">C230</f>
        <v>0</v>
      </c>
      <c r="E228" s="434">
        <f t="shared" si="160"/>
        <v>0</v>
      </c>
      <c r="F228" s="434">
        <f t="shared" si="160"/>
        <v>0</v>
      </c>
      <c r="G228" s="434">
        <f t="shared" si="160"/>
        <v>0</v>
      </c>
      <c r="H228" s="434">
        <f t="shared" si="160"/>
        <v>0</v>
      </c>
      <c r="I228" s="434">
        <f t="shared" si="160"/>
        <v>0</v>
      </c>
      <c r="J228" s="434">
        <f t="shared" si="160"/>
        <v>0</v>
      </c>
      <c r="K228" s="434">
        <f t="shared" si="160"/>
        <v>0</v>
      </c>
      <c r="L228" s="434">
        <f t="shared" si="160"/>
        <v>0</v>
      </c>
      <c r="M228" s="434">
        <f t="shared" si="160"/>
        <v>0</v>
      </c>
      <c r="N228" s="434">
        <f t="shared" si="160"/>
        <v>0</v>
      </c>
      <c r="O228" s="435">
        <f t="shared" si="160"/>
        <v>0</v>
      </c>
      <c r="S228" s="317"/>
    </row>
    <row r="229" spans="2:19" ht="24" customHeight="1" outlineLevel="1" x14ac:dyDescent="0.35">
      <c r="B229" s="356" t="s">
        <v>278</v>
      </c>
      <c r="C229" s="436">
        <f t="shared" ref="C229:O229" si="161">MIN(MAX(-(C128+C223),0),C231-C228)-MIN(MAX(C128+C223,0),C228)</f>
        <v>0</v>
      </c>
      <c r="D229" s="436">
        <f t="shared" si="161"/>
        <v>0</v>
      </c>
      <c r="E229" s="436">
        <f t="shared" si="161"/>
        <v>0</v>
      </c>
      <c r="F229" s="436">
        <f t="shared" si="161"/>
        <v>0</v>
      </c>
      <c r="G229" s="436">
        <f t="shared" si="161"/>
        <v>0</v>
      </c>
      <c r="H229" s="436">
        <f t="shared" si="161"/>
        <v>0</v>
      </c>
      <c r="I229" s="436">
        <f t="shared" si="161"/>
        <v>0</v>
      </c>
      <c r="J229" s="436">
        <f t="shared" si="161"/>
        <v>0</v>
      </c>
      <c r="K229" s="436">
        <f t="shared" si="161"/>
        <v>0</v>
      </c>
      <c r="L229" s="436">
        <f t="shared" si="161"/>
        <v>0</v>
      </c>
      <c r="M229" s="436">
        <f t="shared" si="161"/>
        <v>0</v>
      </c>
      <c r="N229" s="436">
        <f t="shared" si="161"/>
        <v>0</v>
      </c>
      <c r="O229" s="437">
        <f t="shared" si="161"/>
        <v>0</v>
      </c>
      <c r="S229" s="317"/>
    </row>
    <row r="230" spans="2:19" ht="24" customHeight="1" outlineLevel="1" x14ac:dyDescent="0.2">
      <c r="B230" s="356" t="s">
        <v>279</v>
      </c>
      <c r="C230" s="422">
        <f t="shared" ref="C230:O230" si="162">SUM(C228:C229)</f>
        <v>0</v>
      </c>
      <c r="D230" s="422">
        <f t="shared" si="162"/>
        <v>0</v>
      </c>
      <c r="E230" s="422">
        <f t="shared" si="162"/>
        <v>0</v>
      </c>
      <c r="F230" s="422">
        <f t="shared" si="162"/>
        <v>0</v>
      </c>
      <c r="G230" s="422">
        <f t="shared" si="162"/>
        <v>0</v>
      </c>
      <c r="H230" s="422">
        <f t="shared" si="162"/>
        <v>0</v>
      </c>
      <c r="I230" s="422">
        <f t="shared" si="162"/>
        <v>0</v>
      </c>
      <c r="J230" s="422">
        <f t="shared" si="162"/>
        <v>0</v>
      </c>
      <c r="K230" s="422">
        <f t="shared" si="162"/>
        <v>0</v>
      </c>
      <c r="L230" s="422">
        <f t="shared" si="162"/>
        <v>0</v>
      </c>
      <c r="M230" s="422">
        <f t="shared" si="162"/>
        <v>0</v>
      </c>
      <c r="N230" s="422">
        <f t="shared" si="162"/>
        <v>0</v>
      </c>
      <c r="O230" s="357">
        <f t="shared" si="162"/>
        <v>0</v>
      </c>
      <c r="S230" s="317"/>
    </row>
    <row r="231" spans="2:19" ht="24" customHeight="1" outlineLevel="1" x14ac:dyDescent="0.2">
      <c r="B231" s="356" t="s">
        <v>280</v>
      </c>
      <c r="C231" s="343">
        <v>7500</v>
      </c>
      <c r="D231" s="343">
        <v>7500</v>
      </c>
      <c r="E231" s="343">
        <v>7500</v>
      </c>
      <c r="F231" s="343">
        <v>7500</v>
      </c>
      <c r="G231" s="343">
        <v>7500</v>
      </c>
      <c r="H231" s="343">
        <v>7500</v>
      </c>
      <c r="I231" s="343">
        <v>7500</v>
      </c>
      <c r="J231" s="343">
        <v>7500</v>
      </c>
      <c r="K231" s="343">
        <v>7500</v>
      </c>
      <c r="L231" s="343">
        <v>7500</v>
      </c>
      <c r="M231" s="343">
        <v>7500</v>
      </c>
      <c r="N231" s="343">
        <v>7500</v>
      </c>
      <c r="O231" s="438">
        <v>7500</v>
      </c>
      <c r="S231" s="317"/>
    </row>
    <row r="232" spans="2:19" ht="24" customHeight="1" outlineLevel="1" x14ac:dyDescent="0.2">
      <c r="B232" s="356" t="s">
        <v>281</v>
      </c>
      <c r="C232" s="427">
        <v>5.2999999999999999E-2</v>
      </c>
      <c r="D232" s="427">
        <v>5.2999999999999999E-2</v>
      </c>
      <c r="E232" s="427">
        <v>5.2999999999999999E-2</v>
      </c>
      <c r="F232" s="427">
        <v>5.2999999999999999E-2</v>
      </c>
      <c r="G232" s="427">
        <v>5.2999999999999999E-2</v>
      </c>
      <c r="H232" s="427">
        <v>5.2999999999999999E-2</v>
      </c>
      <c r="I232" s="427">
        <v>5.2999999999999999E-2</v>
      </c>
      <c r="J232" s="427">
        <v>5.2999999999999999E-2</v>
      </c>
      <c r="K232" s="427">
        <v>5.2999999999999999E-2</v>
      </c>
      <c r="L232" s="427">
        <v>5.2999999999999999E-2</v>
      </c>
      <c r="M232" s="427">
        <v>5.2999999999999999E-2</v>
      </c>
      <c r="N232" s="427">
        <v>5.2999999999999999E-2</v>
      </c>
      <c r="O232" s="439">
        <v>5.2999999999999999E-2</v>
      </c>
      <c r="S232" s="317"/>
    </row>
    <row r="233" spans="2:19" ht="24" customHeight="1" outlineLevel="1" x14ac:dyDescent="0.2">
      <c r="B233" s="538" t="s">
        <v>282</v>
      </c>
      <c r="C233" s="433">
        <v>0</v>
      </c>
      <c r="D233" s="434">
        <f>C235</f>
        <v>0</v>
      </c>
      <c r="E233" s="434">
        <f t="shared" ref="E233:O233" si="163">D236</f>
        <v>13595</v>
      </c>
      <c r="F233" s="434">
        <f t="shared" si="163"/>
        <v>12410</v>
      </c>
      <c r="G233" s="434">
        <f t="shared" si="163"/>
        <v>13595</v>
      </c>
      <c r="H233" s="434">
        <f t="shared" si="163"/>
        <v>8000</v>
      </c>
      <c r="I233" s="434">
        <f t="shared" si="163"/>
        <v>8000</v>
      </c>
      <c r="J233" s="434">
        <f t="shared" si="163"/>
        <v>0</v>
      </c>
      <c r="K233" s="434">
        <f t="shared" si="163"/>
        <v>0</v>
      </c>
      <c r="L233" s="434">
        <f t="shared" si="163"/>
        <v>0</v>
      </c>
      <c r="M233" s="434">
        <f t="shared" si="163"/>
        <v>0</v>
      </c>
      <c r="N233" s="434">
        <f t="shared" si="163"/>
        <v>0</v>
      </c>
      <c r="O233" s="435">
        <f t="shared" si="163"/>
        <v>0</v>
      </c>
      <c r="S233" s="317"/>
    </row>
    <row r="234" spans="2:19" ht="24" customHeight="1" outlineLevel="1" x14ac:dyDescent="0.2">
      <c r="B234" s="356" t="s">
        <v>283</v>
      </c>
      <c r="C234" s="317">
        <v>0</v>
      </c>
      <c r="D234" s="317">
        <v>30390</v>
      </c>
      <c r="E234" s="317">
        <v>0</v>
      </c>
      <c r="F234" s="343">
        <v>1185</v>
      </c>
      <c r="G234" s="343">
        <v>0</v>
      </c>
      <c r="H234" s="343">
        <v>0</v>
      </c>
      <c r="I234" s="343">
        <v>0</v>
      </c>
      <c r="J234" s="343">
        <v>0</v>
      </c>
      <c r="K234" s="343">
        <v>0</v>
      </c>
      <c r="L234" s="343">
        <v>0</v>
      </c>
      <c r="M234" s="343">
        <v>0</v>
      </c>
      <c r="N234" s="343">
        <v>0</v>
      </c>
      <c r="O234" s="438">
        <v>0</v>
      </c>
      <c r="S234" s="317"/>
    </row>
    <row r="235" spans="2:19" ht="24" customHeight="1" outlineLevel="1" x14ac:dyDescent="0.35">
      <c r="B235" s="356" t="s">
        <v>284</v>
      </c>
      <c r="C235" s="380">
        <v>0</v>
      </c>
      <c r="D235" s="380">
        <v>-16795</v>
      </c>
      <c r="E235" s="380">
        <v>-1185</v>
      </c>
      <c r="F235" s="440">
        <v>0</v>
      </c>
      <c r="G235" s="440">
        <v>-5595</v>
      </c>
      <c r="H235" s="440">
        <v>0</v>
      </c>
      <c r="I235" s="440">
        <v>-8000</v>
      </c>
      <c r="J235" s="440">
        <v>0</v>
      </c>
      <c r="K235" s="440">
        <v>0</v>
      </c>
      <c r="L235" s="440">
        <v>0</v>
      </c>
      <c r="M235" s="440">
        <v>0</v>
      </c>
      <c r="N235" s="440">
        <v>0</v>
      </c>
      <c r="O235" s="441">
        <v>0</v>
      </c>
      <c r="S235" s="317"/>
    </row>
    <row r="236" spans="2:19" ht="24" customHeight="1" outlineLevel="1" x14ac:dyDescent="0.2">
      <c r="B236" s="356" t="s">
        <v>285</v>
      </c>
      <c r="C236" s="422">
        <f t="shared" ref="C236:O236" si="164">SUM(C233:C235)</f>
        <v>0</v>
      </c>
      <c r="D236" s="422">
        <f t="shared" si="164"/>
        <v>13595</v>
      </c>
      <c r="E236" s="422">
        <f t="shared" si="164"/>
        <v>12410</v>
      </c>
      <c r="F236" s="422">
        <f t="shared" si="164"/>
        <v>13595</v>
      </c>
      <c r="G236" s="422">
        <f t="shared" si="164"/>
        <v>8000</v>
      </c>
      <c r="H236" s="422">
        <f t="shared" si="164"/>
        <v>8000</v>
      </c>
      <c r="I236" s="422">
        <f t="shared" si="164"/>
        <v>0</v>
      </c>
      <c r="J236" s="422">
        <f t="shared" si="164"/>
        <v>0</v>
      </c>
      <c r="K236" s="422">
        <f t="shared" si="164"/>
        <v>0</v>
      </c>
      <c r="L236" s="422">
        <f t="shared" si="164"/>
        <v>0</v>
      </c>
      <c r="M236" s="422">
        <f t="shared" si="164"/>
        <v>0</v>
      </c>
      <c r="N236" s="422">
        <f t="shared" si="164"/>
        <v>0</v>
      </c>
      <c r="O236" s="357">
        <f t="shared" si="164"/>
        <v>0</v>
      </c>
      <c r="S236" s="317"/>
    </row>
    <row r="237" spans="2:19" ht="24" customHeight="1" outlineLevel="1" x14ac:dyDescent="0.2">
      <c r="B237" s="356" t="s">
        <v>286</v>
      </c>
      <c r="C237" s="422">
        <f t="shared" ref="C237:O237" si="165">C238*C233</f>
        <v>0</v>
      </c>
      <c r="D237" s="422">
        <f t="shared" si="165"/>
        <v>0</v>
      </c>
      <c r="E237" s="422">
        <f t="shared" si="165"/>
        <v>720.53499999999997</v>
      </c>
      <c r="F237" s="422">
        <f>F238*F233</f>
        <v>657.73</v>
      </c>
      <c r="G237" s="422">
        <f t="shared" si="165"/>
        <v>611.77499999999998</v>
      </c>
      <c r="H237" s="422">
        <f t="shared" si="165"/>
        <v>360</v>
      </c>
      <c r="I237" s="422">
        <f t="shared" si="165"/>
        <v>360</v>
      </c>
      <c r="J237" s="422">
        <f t="shared" si="165"/>
        <v>0</v>
      </c>
      <c r="K237" s="422">
        <f t="shared" si="165"/>
        <v>0</v>
      </c>
      <c r="L237" s="422">
        <f t="shared" si="165"/>
        <v>0</v>
      </c>
      <c r="M237" s="422">
        <f t="shared" si="165"/>
        <v>0</v>
      </c>
      <c r="N237" s="422">
        <f t="shared" si="165"/>
        <v>0</v>
      </c>
      <c r="O237" s="357">
        <f t="shared" si="165"/>
        <v>0</v>
      </c>
      <c r="S237" s="317"/>
    </row>
    <row r="238" spans="2:19" ht="24" customHeight="1" outlineLevel="1" x14ac:dyDescent="0.2">
      <c r="B238" s="356" t="s">
        <v>287</v>
      </c>
      <c r="C238" s="427">
        <v>5.2999999999999999E-2</v>
      </c>
      <c r="D238" s="427">
        <v>5.2999999999999999E-2</v>
      </c>
      <c r="E238" s="427">
        <v>5.2999999999999999E-2</v>
      </c>
      <c r="F238" s="427">
        <v>5.2999999999999999E-2</v>
      </c>
      <c r="G238" s="427">
        <v>4.4999999999999998E-2</v>
      </c>
      <c r="H238" s="427">
        <v>4.4999999999999998E-2</v>
      </c>
      <c r="I238" s="427">
        <v>4.4999999999999998E-2</v>
      </c>
      <c r="J238" s="427">
        <v>4.4999999999999998E-2</v>
      </c>
      <c r="K238" s="427">
        <v>4.4999999999999998E-2</v>
      </c>
      <c r="L238" s="427">
        <v>4.4999999999999998E-2</v>
      </c>
      <c r="M238" s="427">
        <v>4.4999999999999998E-2</v>
      </c>
      <c r="N238" s="427">
        <v>4.4999999999999998E-2</v>
      </c>
      <c r="O238" s="439">
        <v>4.4999999999999998E-2</v>
      </c>
      <c r="S238" s="317"/>
    </row>
    <row r="239" spans="2:19" ht="24" customHeight="1" outlineLevel="1" x14ac:dyDescent="0.2">
      <c r="B239" s="538" t="s">
        <v>288</v>
      </c>
      <c r="C239" s="434"/>
      <c r="D239" s="434">
        <f t="shared" ref="D239:O239" si="166">C244</f>
        <v>39229</v>
      </c>
      <c r="E239" s="434">
        <f t="shared" si="166"/>
        <v>53971</v>
      </c>
      <c r="F239" s="434">
        <f t="shared" si="166"/>
        <v>52726</v>
      </c>
      <c r="G239" s="434">
        <f t="shared" si="166"/>
        <v>49601</v>
      </c>
      <c r="H239" s="434">
        <f t="shared" si="166"/>
        <v>43464</v>
      </c>
      <c r="I239" s="434">
        <f t="shared" si="166"/>
        <v>39194</v>
      </c>
      <c r="J239" s="434">
        <f t="shared" si="166"/>
        <v>34539</v>
      </c>
      <c r="K239" s="434">
        <f t="shared" si="166"/>
        <v>29827</v>
      </c>
      <c r="L239" s="434">
        <f t="shared" si="166"/>
        <v>24077</v>
      </c>
      <c r="M239" s="434">
        <f t="shared" si="166"/>
        <v>20002</v>
      </c>
      <c r="N239" s="434">
        <f t="shared" si="166"/>
        <v>16002</v>
      </c>
      <c r="O239" s="435">
        <f t="shared" si="166"/>
        <v>10996</v>
      </c>
      <c r="S239" s="317"/>
    </row>
    <row r="240" spans="2:19" ht="24" customHeight="1" outlineLevel="1" x14ac:dyDescent="0.2">
      <c r="B240" s="356" t="s">
        <v>289</v>
      </c>
      <c r="C240" s="343">
        <v>0</v>
      </c>
      <c r="D240" s="422">
        <v>8250</v>
      </c>
      <c r="E240" s="343"/>
      <c r="F240" s="343"/>
      <c r="G240" s="343"/>
      <c r="H240" s="343"/>
      <c r="I240" s="343"/>
      <c r="J240" s="343"/>
      <c r="K240" s="343"/>
      <c r="L240" s="343"/>
      <c r="M240" s="343"/>
      <c r="N240" s="343"/>
      <c r="O240" s="438"/>
      <c r="S240" s="317"/>
    </row>
    <row r="241" spans="2:19" ht="24" customHeight="1" outlineLevel="1" x14ac:dyDescent="0.2">
      <c r="B241" s="356" t="s">
        <v>283</v>
      </c>
      <c r="C241" s="343">
        <v>0</v>
      </c>
      <c r="D241" s="422">
        <v>10000</v>
      </c>
      <c r="E241" s="343">
        <v>0</v>
      </c>
      <c r="F241" s="343">
        <v>0</v>
      </c>
      <c r="G241" s="343">
        <v>0</v>
      </c>
      <c r="H241" s="343">
        <v>0</v>
      </c>
      <c r="I241" s="343">
        <v>0</v>
      </c>
      <c r="J241" s="343">
        <v>0</v>
      </c>
      <c r="K241" s="343">
        <v>0</v>
      </c>
      <c r="L241" s="343">
        <v>0</v>
      </c>
      <c r="M241" s="343">
        <v>0</v>
      </c>
      <c r="N241" s="343">
        <v>0</v>
      </c>
      <c r="O241" s="438">
        <v>0</v>
      </c>
      <c r="S241" s="317"/>
    </row>
    <row r="242" spans="2:19" ht="24" customHeight="1" outlineLevel="1" x14ac:dyDescent="0.2">
      <c r="B242" s="356" t="s">
        <v>290</v>
      </c>
      <c r="C242" s="343">
        <v>0</v>
      </c>
      <c r="D242" s="343">
        <v>0</v>
      </c>
      <c r="E242" s="422">
        <v>-1245</v>
      </c>
      <c r="F242" s="422">
        <v>-3125</v>
      </c>
      <c r="G242" s="422">
        <v>-6137</v>
      </c>
      <c r="H242" s="422">
        <v>-4270</v>
      </c>
      <c r="I242" s="422">
        <v>-4655</v>
      </c>
      <c r="J242" s="422">
        <v>-4712</v>
      </c>
      <c r="K242" s="422">
        <v>-5750</v>
      </c>
      <c r="L242" s="422">
        <v>-4075</v>
      </c>
      <c r="M242" s="422">
        <v>-4000</v>
      </c>
      <c r="N242" s="422">
        <v>-5006</v>
      </c>
      <c r="O242" s="357">
        <v>-3250</v>
      </c>
      <c r="S242" s="317"/>
    </row>
    <row r="243" spans="2:19" ht="24" customHeight="1" outlineLevel="1" x14ac:dyDescent="0.35">
      <c r="B243" s="356" t="s">
        <v>291</v>
      </c>
      <c r="C243" s="424">
        <v>0</v>
      </c>
      <c r="D243" s="424">
        <f>-1250-2239-19</f>
        <v>-3508</v>
      </c>
      <c r="E243" s="424">
        <v>0</v>
      </c>
      <c r="F243" s="440">
        <v>0</v>
      </c>
      <c r="G243" s="440">
        <v>0</v>
      </c>
      <c r="H243" s="440">
        <v>0</v>
      </c>
      <c r="I243" s="440">
        <v>0</v>
      </c>
      <c r="J243" s="440">
        <v>0</v>
      </c>
      <c r="K243" s="440">
        <v>0</v>
      </c>
      <c r="L243" s="440">
        <v>0</v>
      </c>
      <c r="M243" s="440">
        <v>0</v>
      </c>
      <c r="N243" s="440">
        <v>0</v>
      </c>
      <c r="O243" s="441">
        <v>0</v>
      </c>
      <c r="S243" s="317"/>
    </row>
    <row r="244" spans="2:19" ht="24" customHeight="1" outlineLevel="1" x14ac:dyDescent="0.2">
      <c r="B244" s="356" t="s">
        <v>292</v>
      </c>
      <c r="C244" s="422">
        <v>39229</v>
      </c>
      <c r="D244" s="422">
        <f t="shared" ref="D244:O244" si="167">SUM(D239:D243)</f>
        <v>53971</v>
      </c>
      <c r="E244" s="422">
        <f t="shared" si="167"/>
        <v>52726</v>
      </c>
      <c r="F244" s="422">
        <f t="shared" si="167"/>
        <v>49601</v>
      </c>
      <c r="G244" s="422">
        <f t="shared" si="167"/>
        <v>43464</v>
      </c>
      <c r="H244" s="422">
        <f t="shared" si="167"/>
        <v>39194</v>
      </c>
      <c r="I244" s="422">
        <f t="shared" si="167"/>
        <v>34539</v>
      </c>
      <c r="J244" s="422">
        <f t="shared" si="167"/>
        <v>29827</v>
      </c>
      <c r="K244" s="422">
        <f t="shared" si="167"/>
        <v>24077</v>
      </c>
      <c r="L244" s="422">
        <f t="shared" si="167"/>
        <v>20002</v>
      </c>
      <c r="M244" s="422">
        <f t="shared" si="167"/>
        <v>16002</v>
      </c>
      <c r="N244" s="422">
        <f t="shared" si="167"/>
        <v>10996</v>
      </c>
      <c r="O244" s="357">
        <f t="shared" si="167"/>
        <v>7746</v>
      </c>
      <c r="S244" s="317"/>
    </row>
    <row r="245" spans="2:19" ht="24" customHeight="1" outlineLevel="1" x14ac:dyDescent="0.2">
      <c r="B245" s="356" t="s">
        <v>293</v>
      </c>
      <c r="C245" s="422">
        <f t="shared" ref="C245:O245" si="168">C246*C239</f>
        <v>0</v>
      </c>
      <c r="D245" s="422">
        <f t="shared" si="168"/>
        <v>1765.3049999999998</v>
      </c>
      <c r="E245" s="422">
        <f t="shared" si="168"/>
        <v>2428.6949999999997</v>
      </c>
      <c r="F245" s="422">
        <f t="shared" si="168"/>
        <v>2372.67</v>
      </c>
      <c r="G245" s="422">
        <f t="shared" si="168"/>
        <v>2232.0450000000001</v>
      </c>
      <c r="H245" s="422">
        <f t="shared" si="168"/>
        <v>1955.8799999999999</v>
      </c>
      <c r="I245" s="422">
        <f t="shared" si="168"/>
        <v>1763.73</v>
      </c>
      <c r="J245" s="422">
        <f t="shared" si="168"/>
        <v>1554.2549999999999</v>
      </c>
      <c r="K245" s="422">
        <f t="shared" si="168"/>
        <v>1342.2149999999999</v>
      </c>
      <c r="L245" s="422">
        <f t="shared" si="168"/>
        <v>1083.4649999999999</v>
      </c>
      <c r="M245" s="422">
        <f t="shared" si="168"/>
        <v>900.08999999999992</v>
      </c>
      <c r="N245" s="422">
        <f t="shared" si="168"/>
        <v>720.08999999999992</v>
      </c>
      <c r="O245" s="357">
        <f t="shared" si="168"/>
        <v>494.82</v>
      </c>
      <c r="S245" s="317"/>
    </row>
    <row r="246" spans="2:19" ht="24" customHeight="1" outlineLevel="1" thickBot="1" x14ac:dyDescent="0.25">
      <c r="B246" s="356" t="s">
        <v>294</v>
      </c>
      <c r="C246" s="427">
        <v>4.4999999999999998E-2</v>
      </c>
      <c r="D246" s="427">
        <v>4.4999999999999998E-2</v>
      </c>
      <c r="E246" s="427">
        <v>4.4999999999999998E-2</v>
      </c>
      <c r="F246" s="427">
        <v>4.4999999999999998E-2</v>
      </c>
      <c r="G246" s="427">
        <v>4.4999999999999998E-2</v>
      </c>
      <c r="H246" s="427">
        <v>4.4999999999999998E-2</v>
      </c>
      <c r="I246" s="427">
        <v>4.4999999999999998E-2</v>
      </c>
      <c r="J246" s="427">
        <v>4.4999999999999998E-2</v>
      </c>
      <c r="K246" s="427">
        <v>4.4999999999999998E-2</v>
      </c>
      <c r="L246" s="427">
        <v>4.4999999999999998E-2</v>
      </c>
      <c r="M246" s="427">
        <v>4.4999999999999998E-2</v>
      </c>
      <c r="N246" s="427">
        <v>4.4999999999999998E-2</v>
      </c>
      <c r="O246" s="439">
        <v>4.4999999999999998E-2</v>
      </c>
      <c r="S246" s="317"/>
    </row>
    <row r="247" spans="2:19" ht="24" customHeight="1" outlineLevel="1" x14ac:dyDescent="0.2">
      <c r="B247" s="537" t="s">
        <v>295</v>
      </c>
      <c r="C247" s="354">
        <f>-C25</f>
        <v>1622</v>
      </c>
      <c r="D247" s="354">
        <f>-D25</f>
        <v>3953</v>
      </c>
      <c r="E247" s="354">
        <f>-E25</f>
        <v>3210</v>
      </c>
      <c r="F247" s="354">
        <f t="shared" ref="F247:O247" si="169">F245+F237+F226</f>
        <v>3030.4</v>
      </c>
      <c r="G247" s="354">
        <f t="shared" si="169"/>
        <v>2843.82</v>
      </c>
      <c r="H247" s="354">
        <f t="shared" si="169"/>
        <v>2315.88</v>
      </c>
      <c r="I247" s="354">
        <f t="shared" si="169"/>
        <v>2123.73</v>
      </c>
      <c r="J247" s="354">
        <f t="shared" si="169"/>
        <v>1554.2549999999999</v>
      </c>
      <c r="K247" s="354">
        <f t="shared" si="169"/>
        <v>1342.2149999999999</v>
      </c>
      <c r="L247" s="354">
        <f t="shared" si="169"/>
        <v>1083.4649999999999</v>
      </c>
      <c r="M247" s="354">
        <f t="shared" si="169"/>
        <v>900.08999999999992</v>
      </c>
      <c r="N247" s="354">
        <f t="shared" si="169"/>
        <v>720.08999999999992</v>
      </c>
      <c r="O247" s="355">
        <f t="shared" si="169"/>
        <v>494.82</v>
      </c>
      <c r="S247" s="317"/>
    </row>
    <row r="248" spans="2:19" ht="24" customHeight="1" outlineLevel="1" x14ac:dyDescent="0.2">
      <c r="B248" s="536" t="s">
        <v>296</v>
      </c>
      <c r="C248" s="422">
        <f t="shared" ref="C248:O248" si="170">C244+C236+C230+C224</f>
        <v>39229</v>
      </c>
      <c r="D248" s="422">
        <f t="shared" si="170"/>
        <v>67566</v>
      </c>
      <c r="E248" s="422">
        <f t="shared" si="170"/>
        <v>65136</v>
      </c>
      <c r="F248" s="422">
        <f t="shared" si="170"/>
        <v>63196</v>
      </c>
      <c r="G248" s="422">
        <f t="shared" si="170"/>
        <v>51464</v>
      </c>
      <c r="H248" s="422">
        <f t="shared" si="170"/>
        <v>47194</v>
      </c>
      <c r="I248" s="422">
        <f t="shared" si="170"/>
        <v>34539</v>
      </c>
      <c r="J248" s="422">
        <f t="shared" si="170"/>
        <v>29827</v>
      </c>
      <c r="K248" s="422">
        <f t="shared" si="170"/>
        <v>24077</v>
      </c>
      <c r="L248" s="422">
        <f t="shared" si="170"/>
        <v>20002</v>
      </c>
      <c r="M248" s="422">
        <f t="shared" si="170"/>
        <v>16002</v>
      </c>
      <c r="N248" s="422">
        <f t="shared" si="170"/>
        <v>10996</v>
      </c>
      <c r="O248" s="357">
        <f t="shared" si="170"/>
        <v>7746</v>
      </c>
      <c r="S248" s="317"/>
    </row>
    <row r="249" spans="2:19" ht="24" customHeight="1" outlineLevel="1" thickBot="1" x14ac:dyDescent="0.25">
      <c r="B249" s="356"/>
      <c r="C249" s="422"/>
      <c r="D249" s="422"/>
      <c r="E249" s="422"/>
      <c r="F249" s="422"/>
      <c r="G249" s="422"/>
      <c r="H249" s="422"/>
      <c r="I249" s="422"/>
      <c r="J249" s="422"/>
      <c r="K249" s="422"/>
      <c r="L249" s="422"/>
      <c r="M249" s="422"/>
      <c r="N249" s="422"/>
      <c r="O249" s="357"/>
      <c r="S249" s="317"/>
    </row>
    <row r="250" spans="2:19" ht="24" customHeight="1" outlineLevel="1" x14ac:dyDescent="0.2">
      <c r="B250" s="353" t="s">
        <v>297</v>
      </c>
      <c r="C250" s="358">
        <f t="shared" ref="C250:O250" si="171">C20/C247</f>
        <v>12.50924784217016</v>
      </c>
      <c r="D250" s="358">
        <f t="shared" si="171"/>
        <v>6.3900834809005822</v>
      </c>
      <c r="E250" s="358">
        <f t="shared" si="171"/>
        <v>10.880373831775701</v>
      </c>
      <c r="F250" s="358">
        <f t="shared" si="171"/>
        <v>15.413255931560188</v>
      </c>
      <c r="G250" s="358">
        <f t="shared" si="171"/>
        <v>20.982816326349759</v>
      </c>
      <c r="H250" s="358">
        <f t="shared" si="171"/>
        <v>31.085754417617494</v>
      </c>
      <c r="I250" s="358">
        <f t="shared" si="171"/>
        <v>38.748902788453137</v>
      </c>
      <c r="J250" s="358">
        <f t="shared" si="171"/>
        <v>58.934982498137821</v>
      </c>
      <c r="K250" s="358">
        <f t="shared" si="171"/>
        <v>74.445435065808979</v>
      </c>
      <c r="L250" s="358">
        <f t="shared" si="171"/>
        <v>99.263832872595074</v>
      </c>
      <c r="M250" s="358">
        <f t="shared" si="171"/>
        <v>131.59127956878757</v>
      </c>
      <c r="N250" s="358">
        <f t="shared" si="171"/>
        <v>165.06050858574011</v>
      </c>
      <c r="O250" s="359">
        <f t="shared" si="171"/>
        <v>249.14511402311524</v>
      </c>
      <c r="S250" s="317"/>
    </row>
    <row r="251" spans="2:19" ht="24" customHeight="1" outlineLevel="1" x14ac:dyDescent="0.2">
      <c r="B251" s="356" t="s">
        <v>298</v>
      </c>
      <c r="C251" s="442">
        <f t="shared" ref="C251:O251" si="172">(C20+C17)/(C247+C183)</f>
        <v>12.427007110118733</v>
      </c>
      <c r="D251" s="442">
        <f t="shared" si="172"/>
        <v>6.4013601764659311</v>
      </c>
      <c r="E251" s="442">
        <f t="shared" si="172"/>
        <v>10.72153866356393</v>
      </c>
      <c r="F251" s="442">
        <f t="shared" si="172"/>
        <v>15.219574648442737</v>
      </c>
      <c r="G251" s="442">
        <f t="shared" si="172"/>
        <v>20.626569867982415</v>
      </c>
      <c r="H251" s="442">
        <f t="shared" si="172"/>
        <v>30.331280261208139</v>
      </c>
      <c r="I251" s="442">
        <f t="shared" si="172"/>
        <v>37.703982729598643</v>
      </c>
      <c r="J251" s="442">
        <f t="shared" si="172"/>
        <v>56.635803313694133</v>
      </c>
      <c r="K251" s="442">
        <f t="shared" si="172"/>
        <v>71.071413650952721</v>
      </c>
      <c r="L251" s="442">
        <f t="shared" si="172"/>
        <v>93.653446874137884</v>
      </c>
      <c r="M251" s="442">
        <f t="shared" si="172"/>
        <v>122.36323340029857</v>
      </c>
      <c r="N251" s="442">
        <f t="shared" si="172"/>
        <v>150.59669464185131</v>
      </c>
      <c r="O251" s="360">
        <f t="shared" si="172"/>
        <v>217.30087216830293</v>
      </c>
      <c r="S251" s="317"/>
    </row>
    <row r="252" spans="2:19" ht="24" customHeight="1" outlineLevel="1" thickBot="1" x14ac:dyDescent="0.25">
      <c r="B252" s="356" t="s">
        <v>299</v>
      </c>
      <c r="C252" s="442">
        <f t="shared" ref="C252:O252" si="173">(C20+C17)/(C247+C17)</f>
        <v>11.897840046701694</v>
      </c>
      <c r="D252" s="442">
        <f t="shared" si="173"/>
        <v>6.146618357487923</v>
      </c>
      <c r="E252" s="442">
        <f t="shared" si="173"/>
        <v>10.350235849056604</v>
      </c>
      <c r="F252" s="442">
        <f t="shared" si="173"/>
        <v>13.818551028643538</v>
      </c>
      <c r="G252" s="442">
        <f t="shared" si="173"/>
        <v>18.112500143097179</v>
      </c>
      <c r="H252" s="442">
        <f t="shared" si="173"/>
        <v>25.043437595991556</v>
      </c>
      <c r="I252" s="442">
        <f t="shared" si="173"/>
        <v>29.270842893689309</v>
      </c>
      <c r="J252" s="442">
        <f t="shared" si="173"/>
        <v>38.113055397162782</v>
      </c>
      <c r="K252" s="442">
        <f t="shared" si="173"/>
        <v>41.832968325876024</v>
      </c>
      <c r="L252" s="442">
        <f t="shared" si="173"/>
        <v>45.076574772686094</v>
      </c>
      <c r="M252" s="442">
        <f t="shared" si="173"/>
        <v>47.057899536093935</v>
      </c>
      <c r="N252" s="442">
        <f t="shared" si="173"/>
        <v>43.617062082221565</v>
      </c>
      <c r="O252" s="360">
        <f t="shared" si="173"/>
        <v>41.300104804654652</v>
      </c>
      <c r="S252" s="317"/>
    </row>
    <row r="253" spans="2:19" ht="24" customHeight="1" outlineLevel="1" x14ac:dyDescent="0.2">
      <c r="B253" s="353" t="s">
        <v>300</v>
      </c>
      <c r="C253" s="358">
        <f t="shared" ref="C253:O253" si="174">C248/C20</f>
        <v>1.9334154756037456</v>
      </c>
      <c r="D253" s="358">
        <f t="shared" si="174"/>
        <v>2.6748218527315912</v>
      </c>
      <c r="E253" s="358">
        <f t="shared" si="174"/>
        <v>1.8649716543549217</v>
      </c>
      <c r="F253" s="358">
        <f t="shared" si="174"/>
        <v>1.3529920455608491</v>
      </c>
      <c r="G253" s="358">
        <f t="shared" si="174"/>
        <v>0.86245740459418296</v>
      </c>
      <c r="H253" s="358">
        <f t="shared" si="174"/>
        <v>0.65555528708023347</v>
      </c>
      <c r="I253" s="358">
        <f t="shared" si="174"/>
        <v>0.41971167289443201</v>
      </c>
      <c r="J253" s="358">
        <f t="shared" si="174"/>
        <v>0.32562230194435732</v>
      </c>
      <c r="K253" s="358">
        <f t="shared" si="174"/>
        <v>0.24095847862110242</v>
      </c>
      <c r="L253" s="358">
        <f t="shared" si="174"/>
        <v>0.1859805363391423</v>
      </c>
      <c r="M253" s="358">
        <f t="shared" si="174"/>
        <v>0.13510182616993932</v>
      </c>
      <c r="N253" s="358">
        <f t="shared" si="174"/>
        <v>9.2513427735568754E-2</v>
      </c>
      <c r="O253" s="359">
        <f t="shared" si="174"/>
        <v>6.2831564399585454E-2</v>
      </c>
      <c r="S253" s="317"/>
    </row>
    <row r="254" spans="2:19" ht="24" customHeight="1" outlineLevel="1" thickBot="1" x14ac:dyDescent="0.25">
      <c r="B254" s="361" t="s">
        <v>301</v>
      </c>
      <c r="C254" s="362">
        <f t="shared" ref="C254:O254" si="175">(C248+C180)/(C20+C17)</f>
        <v>1.9453412492026887</v>
      </c>
      <c r="D254" s="362">
        <f t="shared" si="175"/>
        <v>2.7082170786340236</v>
      </c>
      <c r="E254" s="362">
        <f t="shared" si="175"/>
        <v>1.8930443203828187</v>
      </c>
      <c r="F254" s="362">
        <f t="shared" si="175"/>
        <v>1.3742567788088349</v>
      </c>
      <c r="G254" s="362">
        <f t="shared" si="175"/>
        <v>0.8823280174515129</v>
      </c>
      <c r="H254" s="362">
        <f t="shared" si="175"/>
        <v>0.67270822437660605</v>
      </c>
      <c r="I254" s="362">
        <f t="shared" si="175"/>
        <v>0.43589491299244532</v>
      </c>
      <c r="J254" s="362">
        <f t="shared" si="175"/>
        <v>0.34037987342642306</v>
      </c>
      <c r="K254" s="362">
        <f t="shared" si="175"/>
        <v>0.25479200863707013</v>
      </c>
      <c r="L254" s="362">
        <f t="shared" si="175"/>
        <v>0.1993420216758055</v>
      </c>
      <c r="M254" s="362">
        <f t="shared" si="175"/>
        <v>0.14766452237549868</v>
      </c>
      <c r="N254" s="362">
        <f t="shared" si="175"/>
        <v>0.10552194931095106</v>
      </c>
      <c r="O254" s="363">
        <f t="shared" si="175"/>
        <v>7.5821810614018478E-2</v>
      </c>
      <c r="S254" s="317"/>
    </row>
    <row r="255" spans="2:19" ht="24" customHeight="1" outlineLevel="1" x14ac:dyDescent="0.2">
      <c r="B255" s="333"/>
      <c r="C255" s="344"/>
      <c r="D255" s="344"/>
      <c r="E255" s="344"/>
      <c r="F255" s="347"/>
      <c r="G255" s="347"/>
      <c r="H255" s="347"/>
      <c r="I255" s="347"/>
      <c r="J255" s="347"/>
      <c r="K255" s="347"/>
      <c r="L255" s="347"/>
      <c r="M255" s="347"/>
      <c r="N255" s="347"/>
      <c r="O255" s="347"/>
      <c r="S255" s="317"/>
    </row>
    <row r="256" spans="2:19" ht="24" customHeight="1" outlineLevel="1" x14ac:dyDescent="0.2">
      <c r="B256" s="415" t="s">
        <v>302</v>
      </c>
      <c r="C256" s="416" t="str">
        <f>C$4</f>
        <v>2023A</v>
      </c>
      <c r="D256" s="416" t="str">
        <f t="shared" ref="D256:O256" si="176">D$4</f>
        <v>2024A</v>
      </c>
      <c r="E256" s="416" t="str">
        <f t="shared" si="176"/>
        <v>2025A</v>
      </c>
      <c r="F256" s="416" t="str">
        <f t="shared" si="176"/>
        <v>2026P</v>
      </c>
      <c r="G256" s="416" t="str">
        <f t="shared" si="176"/>
        <v>2027P</v>
      </c>
      <c r="H256" s="416" t="str">
        <f t="shared" si="176"/>
        <v>2028P</v>
      </c>
      <c r="I256" s="416" t="str">
        <f t="shared" si="176"/>
        <v xml:space="preserve">2029P </v>
      </c>
      <c r="J256" s="416" t="str">
        <f t="shared" si="176"/>
        <v>2030P</v>
      </c>
      <c r="K256" s="416" t="str">
        <f t="shared" si="176"/>
        <v>2031P</v>
      </c>
      <c r="L256" s="416" t="str">
        <f t="shared" si="176"/>
        <v>2032P</v>
      </c>
      <c r="M256" s="416" t="str">
        <f t="shared" si="176"/>
        <v xml:space="preserve">2033P </v>
      </c>
      <c r="N256" s="416" t="str">
        <f t="shared" si="176"/>
        <v>2034P</v>
      </c>
      <c r="O256" s="417" t="str">
        <f t="shared" si="176"/>
        <v>2035P</v>
      </c>
      <c r="S256" s="317"/>
    </row>
    <row r="257" spans="2:17" ht="24" customHeight="1" outlineLevel="1" x14ac:dyDescent="0.2">
      <c r="B257" s="418" t="s">
        <v>303</v>
      </c>
      <c r="C257" s="419">
        <v>22709</v>
      </c>
      <c r="D257" s="317">
        <f t="shared" ref="D257:O257" si="177">C262</f>
        <v>23988</v>
      </c>
      <c r="E257" s="317">
        <f t="shared" si="177"/>
        <v>67678</v>
      </c>
      <c r="F257" s="317">
        <f t="shared" si="177"/>
        <v>81292</v>
      </c>
      <c r="G257" s="317">
        <f t="shared" si="177"/>
        <v>96879.658660312503</v>
      </c>
      <c r="H257" s="317">
        <f t="shared" si="177"/>
        <v>120230.56774985103</v>
      </c>
      <c r="I257" s="317">
        <f t="shared" si="177"/>
        <v>150285.3962036632</v>
      </c>
      <c r="J257" s="317">
        <f t="shared" si="177"/>
        <v>186435.76688254107</v>
      </c>
      <c r="K257" s="317">
        <f t="shared" si="177"/>
        <v>225993.50022466984</v>
      </c>
      <c r="L257" s="317">
        <f t="shared" si="177"/>
        <v>269087.1347825313</v>
      </c>
      <c r="M257" s="317">
        <f t="shared" si="177"/>
        <v>317282.041799222</v>
      </c>
      <c r="N257" s="317">
        <f t="shared" si="177"/>
        <v>370469.53385010466</v>
      </c>
      <c r="O257" s="420">
        <f t="shared" si="177"/>
        <v>425264.43020482222</v>
      </c>
    </row>
    <row r="258" spans="2:17" ht="24" customHeight="1" outlineLevel="1" x14ac:dyDescent="0.2">
      <c r="B258" s="418" t="s">
        <v>304</v>
      </c>
      <c r="C258" s="419">
        <v>-7329</v>
      </c>
      <c r="D258" s="419">
        <v>41939</v>
      </c>
      <c r="E258" s="419">
        <f>-5938</f>
        <v>-5938</v>
      </c>
      <c r="F258" s="343">
        <v>-8000</v>
      </c>
      <c r="G258" s="343">
        <v>-8000</v>
      </c>
      <c r="H258" s="343">
        <v>-8000</v>
      </c>
      <c r="I258" s="343">
        <v>-8000</v>
      </c>
      <c r="J258" s="343">
        <v>-10000</v>
      </c>
      <c r="K258" s="343">
        <v>-10000</v>
      </c>
      <c r="L258" s="343">
        <v>-10000</v>
      </c>
      <c r="M258" s="343">
        <v>-10000</v>
      </c>
      <c r="N258" s="343">
        <v>-10000</v>
      </c>
      <c r="O258" s="421">
        <v>-10000</v>
      </c>
    </row>
    <row r="259" spans="2:17" ht="24" customHeight="1" x14ac:dyDescent="0.2">
      <c r="B259" s="418" t="s">
        <v>42</v>
      </c>
      <c r="C259" s="422">
        <f t="shared" ref="C259:O259" si="178">C16</f>
        <v>2171</v>
      </c>
      <c r="D259" s="422">
        <f t="shared" si="178"/>
        <v>5670</v>
      </c>
      <c r="E259" s="422">
        <f t="shared" si="178"/>
        <v>7568</v>
      </c>
      <c r="F259" s="422">
        <f t="shared" si="178"/>
        <v>8859.5300000000007</v>
      </c>
      <c r="G259" s="422">
        <f t="shared" si="178"/>
        <v>10879.273079999999</v>
      </c>
      <c r="H259" s="422">
        <f t="shared" si="178"/>
        <v>12242.506017599999</v>
      </c>
      <c r="I259" s="422">
        <f t="shared" si="178"/>
        <v>13959.621933119997</v>
      </c>
      <c r="J259" s="422">
        <f t="shared" si="178"/>
        <v>15473.2870107648</v>
      </c>
      <c r="K259" s="422">
        <f t="shared" si="178"/>
        <v>15814.50091620941</v>
      </c>
      <c r="L259" s="422">
        <f t="shared" si="178"/>
        <v>16984.489812154585</v>
      </c>
      <c r="M259" s="422">
        <f t="shared" si="178"/>
        <v>17011.224540762134</v>
      </c>
      <c r="N259" s="422">
        <f t="shared" si="178"/>
        <v>17813.810537127767</v>
      </c>
      <c r="O259" s="423">
        <f t="shared" si="178"/>
        <v>18578.371145604029</v>
      </c>
    </row>
    <row r="260" spans="2:17" ht="24" customHeight="1" outlineLevel="1" x14ac:dyDescent="0.2">
      <c r="B260" s="418" t="s">
        <v>64</v>
      </c>
      <c r="C260" s="317">
        <f t="shared" ref="C260:O260" si="179">C31</f>
        <v>14082</v>
      </c>
      <c r="D260" s="317">
        <f t="shared" si="179"/>
        <v>5895</v>
      </c>
      <c r="E260" s="317">
        <f t="shared" si="179"/>
        <v>23126</v>
      </c>
      <c r="F260" s="317">
        <f t="shared" si="179"/>
        <v>29456.257320624994</v>
      </c>
      <c r="G260" s="317">
        <f t="shared" si="179"/>
        <v>41778.848999058246</v>
      </c>
      <c r="H260" s="317">
        <f t="shared" si="179"/>
        <v>53775.671742108694</v>
      </c>
      <c r="I260" s="317">
        <f t="shared" si="179"/>
        <v>64235.63562927203</v>
      </c>
      <c r="J260" s="317">
        <f t="shared" si="179"/>
        <v>74096.622459486898</v>
      </c>
      <c r="K260" s="317">
        <f t="shared" si="179"/>
        <v>82842.519203671196</v>
      </c>
      <c r="L260" s="317">
        <f t="shared" si="179"/>
        <v>91578.70489896927</v>
      </c>
      <c r="M260" s="317">
        <f t="shared" si="179"/>
        <v>102613.92780026783</v>
      </c>
      <c r="N260" s="317">
        <f t="shared" si="179"/>
        <v>104402.41292797742</v>
      </c>
      <c r="O260" s="420">
        <f t="shared" si="179"/>
        <v>109613.28715046737</v>
      </c>
    </row>
    <row r="261" spans="2:17" ht="24" customHeight="1" outlineLevel="1" x14ac:dyDescent="0.35">
      <c r="B261" s="418" t="s">
        <v>305</v>
      </c>
      <c r="C261" s="424">
        <v>-7645</v>
      </c>
      <c r="D261" s="424">
        <v>-9814</v>
      </c>
      <c r="E261" s="424">
        <v>-11142</v>
      </c>
      <c r="F261" s="380">
        <f t="shared" ref="F261:O261" si="180">-F260*F266</f>
        <v>-14728.128660312497</v>
      </c>
      <c r="G261" s="380">
        <f t="shared" si="180"/>
        <v>-21307.212989519707</v>
      </c>
      <c r="H261" s="380">
        <f t="shared" si="180"/>
        <v>-27963.349305896521</v>
      </c>
      <c r="I261" s="380">
        <f>-I260*I266</f>
        <v>-34044.886883514177</v>
      </c>
      <c r="J261" s="380">
        <f t="shared" si="180"/>
        <v>-40012.176128122926</v>
      </c>
      <c r="K261" s="380">
        <f t="shared" si="180"/>
        <v>-45563.385562019161</v>
      </c>
      <c r="L261" s="380">
        <f t="shared" si="180"/>
        <v>-50368.2876944331</v>
      </c>
      <c r="M261" s="380">
        <f t="shared" si="180"/>
        <v>-56437.660290147316</v>
      </c>
      <c r="N261" s="380">
        <f t="shared" si="180"/>
        <v>-57421.327110387589</v>
      </c>
      <c r="O261" s="425">
        <f t="shared" si="180"/>
        <v>-60287.307932757059</v>
      </c>
    </row>
    <row r="262" spans="2:17" ht="24" customHeight="1" outlineLevel="1" x14ac:dyDescent="0.2">
      <c r="B262" s="418" t="s">
        <v>306</v>
      </c>
      <c r="C262" s="317">
        <f>SUM(C257:C261)</f>
        <v>23988</v>
      </c>
      <c r="D262" s="317">
        <f t="shared" ref="D262:O262" si="181">SUM(D257:D261)</f>
        <v>67678</v>
      </c>
      <c r="E262" s="317">
        <f t="shared" si="181"/>
        <v>81292</v>
      </c>
      <c r="F262" s="317">
        <f t="shared" si="181"/>
        <v>96879.658660312503</v>
      </c>
      <c r="G262" s="317">
        <f t="shared" si="181"/>
        <v>120230.56774985103</v>
      </c>
      <c r="H262" s="317">
        <f t="shared" si="181"/>
        <v>150285.3962036632</v>
      </c>
      <c r="I262" s="317">
        <f t="shared" si="181"/>
        <v>186435.76688254107</v>
      </c>
      <c r="J262" s="317">
        <f>SUM(J257:J261)</f>
        <v>225993.50022466984</v>
      </c>
      <c r="K262" s="317">
        <f t="shared" si="181"/>
        <v>269087.1347825313</v>
      </c>
      <c r="L262" s="317">
        <f t="shared" si="181"/>
        <v>317282.041799222</v>
      </c>
      <c r="M262" s="317">
        <f t="shared" si="181"/>
        <v>370469.53385010466</v>
      </c>
      <c r="N262" s="317">
        <f t="shared" si="181"/>
        <v>425264.43020482222</v>
      </c>
      <c r="O262" s="420">
        <f t="shared" si="181"/>
        <v>483168.78056813648</v>
      </c>
    </row>
    <row r="263" spans="2:17" ht="24" customHeight="1" outlineLevel="1" x14ac:dyDescent="0.2">
      <c r="B263" s="418" t="s">
        <v>307</v>
      </c>
      <c r="C263" s="422">
        <f t="shared" ref="C263:O263" si="182">C130</f>
        <v>12539</v>
      </c>
      <c r="D263" s="422">
        <f t="shared" si="182"/>
        <v>8177</v>
      </c>
      <c r="E263" s="422">
        <f t="shared" si="182"/>
        <v>13939</v>
      </c>
      <c r="F263" s="422">
        <f t="shared" si="182"/>
        <v>13939</v>
      </c>
      <c r="G263" s="422">
        <f t="shared" si="182"/>
        <v>13939</v>
      </c>
      <c r="H263" s="422">
        <f t="shared" si="182"/>
        <v>13939</v>
      </c>
      <c r="I263" s="422">
        <f t="shared" si="182"/>
        <v>13939</v>
      </c>
      <c r="J263" s="422">
        <f t="shared" si="182"/>
        <v>13939</v>
      </c>
      <c r="K263" s="422">
        <f t="shared" si="182"/>
        <v>13939</v>
      </c>
      <c r="L263" s="422">
        <f t="shared" si="182"/>
        <v>13939</v>
      </c>
      <c r="M263" s="422">
        <f t="shared" si="182"/>
        <v>13939</v>
      </c>
      <c r="N263" s="422">
        <f t="shared" si="182"/>
        <v>13939</v>
      </c>
      <c r="O263" s="423">
        <f t="shared" si="182"/>
        <v>13939</v>
      </c>
    </row>
    <row r="264" spans="2:17" ht="24" customHeight="1" outlineLevel="1" x14ac:dyDescent="0.2">
      <c r="B264" s="418" t="s">
        <v>308</v>
      </c>
      <c r="C264" s="422">
        <f t="shared" ref="C264:O264" si="183">C134</f>
        <v>2365</v>
      </c>
      <c r="D264" s="422">
        <f t="shared" si="183"/>
        <v>1650</v>
      </c>
      <c r="E264" s="422">
        <f t="shared" si="183"/>
        <v>1171</v>
      </c>
      <c r="F264" s="422">
        <f t="shared" si="183"/>
        <v>2239</v>
      </c>
      <c r="G264" s="422">
        <f t="shared" si="183"/>
        <v>20005.187673531676</v>
      </c>
      <c r="H264" s="422">
        <f t="shared" si="183"/>
        <v>35897.651662725693</v>
      </c>
      <c r="I264" s="422">
        <f t="shared" si="183"/>
        <v>64908.665433917296</v>
      </c>
      <c r="J264" s="422">
        <f t="shared" si="183"/>
        <v>90546.766399682485</v>
      </c>
      <c r="K264" s="422">
        <f t="shared" si="183"/>
        <v>125538.89787987301</v>
      </c>
      <c r="L264" s="422">
        <f t="shared" si="183"/>
        <v>162397.58137037201</v>
      </c>
      <c r="M264" s="422">
        <f t="shared" si="183"/>
        <v>204711.37259744317</v>
      </c>
      <c r="N264" s="422">
        <f t="shared" si="183"/>
        <v>251607.97486218714</v>
      </c>
      <c r="O264" s="423">
        <f t="shared" si="183"/>
        <v>299195.09760058369</v>
      </c>
      <c r="Q264" s="315" t="s">
        <v>447</v>
      </c>
    </row>
    <row r="265" spans="2:17" ht="24" customHeight="1" outlineLevel="1" x14ac:dyDescent="0.2">
      <c r="B265" s="418" t="s">
        <v>309</v>
      </c>
      <c r="C265" s="426"/>
      <c r="D265" s="426"/>
      <c r="E265" s="426"/>
      <c r="F265" s="427"/>
      <c r="G265" s="427"/>
      <c r="H265" s="427"/>
      <c r="I265" s="427"/>
      <c r="J265" s="427"/>
      <c r="K265" s="427"/>
      <c r="L265" s="427"/>
      <c r="M265" s="427"/>
      <c r="N265" s="427"/>
      <c r="O265" s="428"/>
    </row>
    <row r="266" spans="2:17" ht="24" customHeight="1" outlineLevel="1" x14ac:dyDescent="0.2">
      <c r="B266" s="429" t="s">
        <v>310</v>
      </c>
      <c r="C266" s="430">
        <f>-C261/C260</f>
        <v>0.54289163471097857</v>
      </c>
      <c r="D266" s="430">
        <f>-D261/D260</f>
        <v>1.6648006785411364</v>
      </c>
      <c r="E266" s="430">
        <f>-E261/E260</f>
        <v>0.48179538182132664</v>
      </c>
      <c r="F266" s="431">
        <v>0.5</v>
      </c>
      <c r="G266" s="431">
        <v>0.51</v>
      </c>
      <c r="H266" s="431">
        <v>0.52</v>
      </c>
      <c r="I266" s="431">
        <v>0.53</v>
      </c>
      <c r="J266" s="431">
        <v>0.54</v>
      </c>
      <c r="K266" s="431">
        <v>0.55000000000000004</v>
      </c>
      <c r="L266" s="431">
        <v>0.55000000000000004</v>
      </c>
      <c r="M266" s="431">
        <v>0.55000000000000004</v>
      </c>
      <c r="N266" s="431">
        <v>0.55000000000000004</v>
      </c>
      <c r="O266" s="432">
        <v>0.55000000000000004</v>
      </c>
    </row>
    <row r="267" spans="2:17" ht="24" customHeight="1" outlineLevel="1" thickBot="1" x14ac:dyDescent="0.25">
      <c r="C267" s="346"/>
    </row>
    <row r="268" spans="2:17" ht="24" customHeight="1" outlineLevel="1" x14ac:dyDescent="0.2">
      <c r="B268" s="364" t="s">
        <v>311</v>
      </c>
      <c r="C268" s="365"/>
      <c r="D268" s="365"/>
      <c r="E268" s="365"/>
      <c r="F268" s="365" t="str">
        <f t="shared" ref="F268:O268" si="184">F4</f>
        <v>2026P</v>
      </c>
      <c r="G268" s="365" t="str">
        <f t="shared" si="184"/>
        <v>2027P</v>
      </c>
      <c r="H268" s="365" t="str">
        <f t="shared" si="184"/>
        <v>2028P</v>
      </c>
      <c r="I268" s="365" t="str">
        <f t="shared" si="184"/>
        <v xml:space="preserve">2029P </v>
      </c>
      <c r="J268" s="365" t="str">
        <f t="shared" si="184"/>
        <v>2030P</v>
      </c>
      <c r="K268" s="365" t="str">
        <f t="shared" si="184"/>
        <v>2031P</v>
      </c>
      <c r="L268" s="365" t="str">
        <f t="shared" si="184"/>
        <v>2032P</v>
      </c>
      <c r="M268" s="365" t="str">
        <f t="shared" si="184"/>
        <v xml:space="preserve">2033P </v>
      </c>
      <c r="N268" s="365" t="str">
        <f t="shared" si="184"/>
        <v>2034P</v>
      </c>
      <c r="O268" s="366" t="str">
        <f t="shared" si="184"/>
        <v>2035P</v>
      </c>
    </row>
    <row r="269" spans="2:17" ht="24" customHeight="1" outlineLevel="1" x14ac:dyDescent="0.2">
      <c r="B269" s="337" t="s">
        <v>448</v>
      </c>
      <c r="C269" s="317"/>
      <c r="D269" s="317"/>
      <c r="E269" s="317"/>
      <c r="F269" s="317">
        <f t="shared" ref="F269:O269" si="185">F23</f>
        <v>38213.540774999994</v>
      </c>
      <c r="G269" s="317">
        <f t="shared" si="185"/>
        <v>52040.152335949977</v>
      </c>
      <c r="H269" s="317">
        <f t="shared" si="185"/>
        <v>65213.770481689513</v>
      </c>
      <c r="I269" s="317">
        <f t="shared" si="185"/>
        <v>76332.961863554825</v>
      </c>
      <c r="J269" s="317">
        <f t="shared" si="185"/>
        <v>86498.815499214863</v>
      </c>
      <c r="K269" s="317">
        <f t="shared" si="185"/>
        <v>95294.733027541341</v>
      </c>
      <c r="L269" s="317">
        <f t="shared" si="185"/>
        <v>103954.10202796977</v>
      </c>
      <c r="M269" s="317">
        <f t="shared" si="185"/>
        <v>115213.61498549387</v>
      </c>
      <c r="N269" s="317">
        <f t="shared" si="185"/>
        <v>115210.54570713952</v>
      </c>
      <c r="O269" s="338">
        <f t="shared" si="185"/>
        <v>119231.94319552642</v>
      </c>
    </row>
    <row r="270" spans="2:17" ht="24" customHeight="1" outlineLevel="1" x14ac:dyDescent="0.35">
      <c r="B270" s="337" t="s">
        <v>400</v>
      </c>
      <c r="C270" s="380"/>
      <c r="D270" s="380"/>
      <c r="E270" s="380"/>
      <c r="F270" s="380">
        <f t="shared" ref="F270:O270" si="186">F183</f>
        <v>63.335000000000001</v>
      </c>
      <c r="G270" s="380">
        <f t="shared" si="186"/>
        <v>72.241813000000008</v>
      </c>
      <c r="H270" s="380">
        <f t="shared" si="186"/>
        <v>76.794371661400007</v>
      </c>
      <c r="I270" s="380">
        <f t="shared" si="186"/>
        <v>77.740542626814928</v>
      </c>
      <c r="J270" s="380">
        <f t="shared" si="186"/>
        <v>78.492940564376681</v>
      </c>
      <c r="K270" s="380">
        <f t="shared" si="186"/>
        <v>78.803303123353885</v>
      </c>
      <c r="L270" s="380">
        <f t="shared" si="186"/>
        <v>79.128501012650219</v>
      </c>
      <c r="M270" s="380">
        <f t="shared" si="186"/>
        <v>81.381243361054899</v>
      </c>
      <c r="N270" s="380">
        <f t="shared" si="186"/>
        <v>82.785666793713318</v>
      </c>
      <c r="O270" s="405">
        <f t="shared" si="186"/>
        <v>84.257221666452821</v>
      </c>
    </row>
    <row r="271" spans="2:17" ht="24" customHeight="1" x14ac:dyDescent="0.2">
      <c r="B271" s="337" t="s">
        <v>401</v>
      </c>
      <c r="C271" s="317"/>
      <c r="D271" s="317"/>
      <c r="E271" s="317"/>
      <c r="F271" s="317">
        <f t="shared" ref="F271:O271" si="187">SUM(F269:F270)</f>
        <v>38276.875774999993</v>
      </c>
      <c r="G271" s="317">
        <f t="shared" si="187"/>
        <v>52112.394148949978</v>
      </c>
      <c r="H271" s="317">
        <f t="shared" si="187"/>
        <v>65290.564853350916</v>
      </c>
      <c r="I271" s="317">
        <f t="shared" si="187"/>
        <v>76410.702406181634</v>
      </c>
      <c r="J271" s="317">
        <f t="shared" si="187"/>
        <v>86577.308439779241</v>
      </c>
      <c r="K271" s="317">
        <f t="shared" si="187"/>
        <v>95373.53633066469</v>
      </c>
      <c r="L271" s="317">
        <f t="shared" si="187"/>
        <v>104033.23052898241</v>
      </c>
      <c r="M271" s="317">
        <f t="shared" si="187"/>
        <v>115294.99622885493</v>
      </c>
      <c r="N271" s="317">
        <f t="shared" si="187"/>
        <v>115293.33137393324</v>
      </c>
      <c r="O271" s="338">
        <f t="shared" si="187"/>
        <v>119316.20041719287</v>
      </c>
    </row>
    <row r="272" spans="2:17" ht="24" customHeight="1" x14ac:dyDescent="0.35">
      <c r="B272" s="337" t="s">
        <v>449</v>
      </c>
      <c r="C272" s="380"/>
      <c r="D272" s="380"/>
      <c r="E272" s="380"/>
      <c r="F272" s="380">
        <f t="shared" ref="F272:O272" si="188">-(F271*$F$46)</f>
        <v>-6315.6845028749995</v>
      </c>
      <c r="G272" s="380">
        <f t="shared" si="188"/>
        <v>-8598.5450345767458</v>
      </c>
      <c r="H272" s="380">
        <f t="shared" si="188"/>
        <v>-10772.943200802902</v>
      </c>
      <c r="I272" s="380">
        <f t="shared" si="188"/>
        <v>-12607.76589701997</v>
      </c>
      <c r="J272" s="380">
        <f t="shared" si="188"/>
        <v>-14285.255892563575</v>
      </c>
      <c r="K272" s="380">
        <f t="shared" si="188"/>
        <v>-15736.633494559675</v>
      </c>
      <c r="L272" s="380">
        <f t="shared" si="188"/>
        <v>-17165.483037282098</v>
      </c>
      <c r="M272" s="380">
        <f t="shared" si="188"/>
        <v>-19023.674377761065</v>
      </c>
      <c r="N272" s="380">
        <f t="shared" si="188"/>
        <v>-19023.399676698984</v>
      </c>
      <c r="O272" s="405">
        <f t="shared" si="188"/>
        <v>-19687.173068836826</v>
      </c>
    </row>
    <row r="273" spans="2:17" ht="24" customHeight="1" x14ac:dyDescent="0.2">
      <c r="B273" s="337" t="s">
        <v>450</v>
      </c>
      <c r="C273" s="317"/>
      <c r="D273" s="317"/>
      <c r="E273" s="317"/>
      <c r="F273" s="317">
        <f t="shared" ref="F273:O273" si="189">SUM(F271:F272)</f>
        <v>31961.191272124994</v>
      </c>
      <c r="G273" s="317">
        <f t="shared" si="189"/>
        <v>43513.849114373232</v>
      </c>
      <c r="H273" s="317">
        <f t="shared" si="189"/>
        <v>54517.621652548012</v>
      </c>
      <c r="I273" s="317">
        <f t="shared" si="189"/>
        <v>63802.936509161664</v>
      </c>
      <c r="J273" s="317">
        <f t="shared" si="189"/>
        <v>72292.052547215659</v>
      </c>
      <c r="K273" s="317">
        <f t="shared" si="189"/>
        <v>79636.902836105015</v>
      </c>
      <c r="L273" s="317">
        <f t="shared" si="189"/>
        <v>86867.747491700313</v>
      </c>
      <c r="M273" s="317">
        <f t="shared" si="189"/>
        <v>96271.32185109386</v>
      </c>
      <c r="N273" s="317">
        <f t="shared" si="189"/>
        <v>96269.931697234249</v>
      </c>
      <c r="O273" s="338">
        <f t="shared" si="189"/>
        <v>99629.027348356045</v>
      </c>
    </row>
    <row r="274" spans="2:17" ht="24" customHeight="1" x14ac:dyDescent="0.2">
      <c r="B274" s="337" t="s">
        <v>451</v>
      </c>
      <c r="C274" s="317"/>
      <c r="D274" s="317"/>
      <c r="E274" s="317"/>
      <c r="F274" s="317">
        <f t="shared" ref="F274:O274" si="190">F21</f>
        <v>8494.7900000000009</v>
      </c>
      <c r="G274" s="317">
        <f t="shared" si="190"/>
        <v>7631.2003892500006</v>
      </c>
      <c r="H274" s="317">
        <f t="shared" si="190"/>
        <v>6777.1064589825</v>
      </c>
      <c r="I274" s="317">
        <f t="shared" si="190"/>
        <v>5959.2454553667667</v>
      </c>
      <c r="J274" s="317">
        <f t="shared" si="190"/>
        <v>5101.1757234283286</v>
      </c>
      <c r="K274" s="317">
        <f t="shared" si="190"/>
        <v>4627.046599313464</v>
      </c>
      <c r="L274" s="317">
        <f t="shared" si="190"/>
        <v>3594.7866553364502</v>
      </c>
      <c r="M274" s="317">
        <f t="shared" si="190"/>
        <v>3230.3798415761134</v>
      </c>
      <c r="N274" s="317">
        <f t="shared" si="190"/>
        <v>3647.8759203660611</v>
      </c>
      <c r="O274" s="338">
        <f t="shared" si="190"/>
        <v>4050.0421253914687</v>
      </c>
    </row>
    <row r="275" spans="2:17" ht="24" customHeight="1" x14ac:dyDescent="0.2">
      <c r="B275" s="337" t="s">
        <v>452</v>
      </c>
      <c r="C275" s="317"/>
      <c r="D275" s="317"/>
      <c r="E275" s="317"/>
      <c r="F275" s="317">
        <f t="shared" ref="F275:O275" si="191">-(F189+F190+F179+F163)</f>
        <v>-2249.7571749999997</v>
      </c>
      <c r="G275" s="317">
        <f t="shared" si="191"/>
        <v>-2796.0992132000001</v>
      </c>
      <c r="H275" s="317">
        <f t="shared" si="191"/>
        <v>-3218.3513238719997</v>
      </c>
      <c r="I275" s="317">
        <f t="shared" si="191"/>
        <v>-3705.6061342495996</v>
      </c>
      <c r="J275" s="317">
        <f t="shared" si="191"/>
        <v>-5012.1725751526401</v>
      </c>
      <c r="K275" s="317">
        <f t="shared" si="191"/>
        <v>-5548.9946753096474</v>
      </c>
      <c r="L275" s="317">
        <f t="shared" si="191"/>
        <v>-6155.5659110041934</v>
      </c>
      <c r="M275" s="317">
        <f t="shared" si="191"/>
        <v>-6554.5191474969715</v>
      </c>
      <c r="N275" s="317">
        <f t="shared" si="191"/>
        <v>-7399.8113190668546</v>
      </c>
      <c r="O275" s="338">
        <f t="shared" si="191"/>
        <v>-8131.5687535112211</v>
      </c>
    </row>
    <row r="276" spans="2:17" ht="24" customHeight="1" x14ac:dyDescent="0.2">
      <c r="B276" s="337" t="s">
        <v>453</v>
      </c>
      <c r="C276" s="406"/>
      <c r="D276" s="406"/>
      <c r="E276" s="406"/>
      <c r="F276" s="406">
        <f t="shared" ref="F276:O276" si="192">-F153</f>
        <v>-2626.5038117808253</v>
      </c>
      <c r="G276" s="406">
        <f t="shared" si="192"/>
        <v>-1061.5462763945143</v>
      </c>
      <c r="H276" s="406">
        <f t="shared" si="192"/>
        <v>-857.56981773106963</v>
      </c>
      <c r="I276" s="406">
        <f t="shared" si="192"/>
        <v>-760.90903422982956</v>
      </c>
      <c r="J276" s="406">
        <f t="shared" si="192"/>
        <v>-742.60501021392702</v>
      </c>
      <c r="K276" s="406">
        <f t="shared" si="192"/>
        <v>-563.00299136628746</v>
      </c>
      <c r="L276" s="406">
        <f t="shared" si="192"/>
        <v>-545.33653395184956</v>
      </c>
      <c r="M276" s="406">
        <f t="shared" si="192"/>
        <v>-566.75048021781549</v>
      </c>
      <c r="N276" s="406">
        <f t="shared" si="192"/>
        <v>-449.83821762026491</v>
      </c>
      <c r="O276" s="407">
        <f t="shared" si="192"/>
        <v>-432.71787712153309</v>
      </c>
    </row>
    <row r="277" spans="2:17" ht="24" customHeight="1" x14ac:dyDescent="0.2">
      <c r="B277" s="511" t="s">
        <v>402</v>
      </c>
      <c r="C277" s="317"/>
      <c r="D277" s="317"/>
      <c r="E277" s="317"/>
      <c r="F277" s="317">
        <f t="shared" ref="F277:O277" si="193">SUM(F273:F276)</f>
        <v>35579.72028534417</v>
      </c>
      <c r="G277" s="317">
        <f t="shared" si="193"/>
        <v>47287.404014028711</v>
      </c>
      <c r="H277" s="317">
        <f t="shared" si="193"/>
        <v>57218.806969927442</v>
      </c>
      <c r="I277" s="317">
        <f t="shared" si="193"/>
        <v>65295.666796049001</v>
      </c>
      <c r="J277" s="317">
        <f t="shared" si="193"/>
        <v>71638.450685277421</v>
      </c>
      <c r="K277" s="317">
        <f t="shared" si="193"/>
        <v>78151.95176874254</v>
      </c>
      <c r="L277" s="317">
        <f t="shared" si="193"/>
        <v>83761.631702080718</v>
      </c>
      <c r="M277" s="317">
        <f t="shared" si="193"/>
        <v>92380.432064955181</v>
      </c>
      <c r="N277" s="317">
        <f t="shared" si="193"/>
        <v>92068.158080913185</v>
      </c>
      <c r="O277" s="338">
        <f t="shared" si="193"/>
        <v>95114.78284311475</v>
      </c>
    </row>
    <row r="278" spans="2:17" ht="24" customHeight="1" x14ac:dyDescent="0.2">
      <c r="B278" s="408" t="s">
        <v>454</v>
      </c>
      <c r="C278" s="409"/>
      <c r="D278" s="409"/>
      <c r="E278" s="409"/>
      <c r="F278" s="410">
        <v>1</v>
      </c>
      <c r="G278" s="410">
        <f>F278+1</f>
        <v>2</v>
      </c>
      <c r="H278" s="410">
        <f t="shared" ref="H278:O278" si="194">G278+1</f>
        <v>3</v>
      </c>
      <c r="I278" s="410">
        <f t="shared" si="194"/>
        <v>4</v>
      </c>
      <c r="J278" s="410">
        <f t="shared" si="194"/>
        <v>5</v>
      </c>
      <c r="K278" s="410">
        <f t="shared" si="194"/>
        <v>6</v>
      </c>
      <c r="L278" s="410">
        <f t="shared" si="194"/>
        <v>7</v>
      </c>
      <c r="M278" s="410">
        <f t="shared" si="194"/>
        <v>8</v>
      </c>
      <c r="N278" s="410">
        <f t="shared" si="194"/>
        <v>9</v>
      </c>
      <c r="O278" s="411">
        <f t="shared" si="194"/>
        <v>10</v>
      </c>
    </row>
    <row r="279" spans="2:17" ht="24" customHeight="1" x14ac:dyDescent="0.2">
      <c r="B279" s="511" t="s">
        <v>455</v>
      </c>
      <c r="C279" s="524" t="s">
        <v>485</v>
      </c>
      <c r="D279" s="525">
        <f>E288</f>
        <v>9.1143937249756626E-2</v>
      </c>
      <c r="F279" s="412">
        <f>1/(1+$D$279)^F278</f>
        <v>0.91646937297797193</v>
      </c>
      <c r="G279" s="412">
        <f t="shared" ref="G279:O279" si="195">1/(1+$D$279)^G278</f>
        <v>0.83991611160663704</v>
      </c>
      <c r="H279" s="412">
        <f t="shared" si="195"/>
        <v>0.76975739215823091</v>
      </c>
      <c r="I279" s="412">
        <f t="shared" si="195"/>
        <v>0.70545907453641266</v>
      </c>
      <c r="J279" s="412">
        <f t="shared" si="195"/>
        <v>0.64653163570200656</v>
      </c>
      <c r="K279" s="412">
        <f t="shared" si="195"/>
        <v>0.59252644278224043</v>
      </c>
      <c r="L279" s="412">
        <f t="shared" si="195"/>
        <v>0.54303233748950808</v>
      </c>
      <c r="M279" s="412">
        <f t="shared" si="195"/>
        <v>0.49767250584577194</v>
      </c>
      <c r="N279" s="412">
        <f t="shared" si="195"/>
        <v>0.45610160938085065</v>
      </c>
      <c r="O279" s="413">
        <f t="shared" si="195"/>
        <v>0.41800315596351212</v>
      </c>
      <c r="Q279" s="317">
        <f>SUM(F277:O277)</f>
        <v>718497.00521043316</v>
      </c>
    </row>
    <row r="280" spans="2:17" ht="24" customHeight="1" x14ac:dyDescent="0.2">
      <c r="B280" s="337"/>
      <c r="F280" s="317">
        <f>F277*F279</f>
        <v>32607.723940641001</v>
      </c>
      <c r="G280" s="317">
        <f t="shared" ref="G280:O280" si="196">G277*G279</f>
        <v>39717.452507435075</v>
      </c>
      <c r="H280" s="317">
        <f t="shared" si="196"/>
        <v>44044.599635576553</v>
      </c>
      <c r="I280" s="317">
        <f t="shared" si="196"/>
        <v>46063.420669178697</v>
      </c>
      <c r="J280" s="317">
        <f t="shared" si="196"/>
        <v>46316.524700709946</v>
      </c>
      <c r="K280" s="317">
        <f t="shared" si="196"/>
        <v>46307.097978022241</v>
      </c>
      <c r="L280" s="317">
        <f t="shared" si="196"/>
        <v>45485.274655116176</v>
      </c>
      <c r="M280" s="317">
        <f t="shared" si="196"/>
        <v>45975.201116881348</v>
      </c>
      <c r="N280" s="317">
        <f t="shared" si="196"/>
        <v>41992.435073435074</v>
      </c>
      <c r="O280" s="338">
        <f t="shared" si="196"/>
        <v>39758.279407206079</v>
      </c>
    </row>
    <row r="281" spans="2:17" ht="24" customHeight="1" thickBot="1" x14ac:dyDescent="0.25">
      <c r="B281" s="340"/>
      <c r="C281" s="387"/>
      <c r="D281" s="387"/>
      <c r="E281" s="387"/>
      <c r="F281" s="387"/>
      <c r="G281" s="387"/>
      <c r="H281" s="387"/>
      <c r="I281" s="387"/>
      <c r="J281" s="387"/>
      <c r="K281" s="387"/>
      <c r="L281" s="387"/>
      <c r="M281" s="387"/>
      <c r="N281" s="580" t="s">
        <v>403</v>
      </c>
      <c r="O281" s="414">
        <f>SUM(F280:O280)</f>
        <v>428268.00968420214</v>
      </c>
    </row>
    <row r="283" spans="2:17" ht="24" customHeight="1" thickBot="1" x14ac:dyDescent="0.25">
      <c r="E283" s="369"/>
    </row>
    <row r="284" spans="2:17" ht="24" customHeight="1" thickBot="1" x14ac:dyDescent="0.25">
      <c r="B284" s="399" t="s">
        <v>404</v>
      </c>
      <c r="C284" s="400"/>
      <c r="D284" s="400"/>
      <c r="E284" s="401"/>
      <c r="F284" s="400"/>
      <c r="G284" s="402"/>
      <c r="H284" s="400"/>
      <c r="I284" s="400"/>
      <c r="J284" s="400"/>
      <c r="K284" s="400"/>
      <c r="L284" s="400"/>
      <c r="M284" s="400"/>
      <c r="N284" s="400"/>
      <c r="O284" s="401"/>
    </row>
    <row r="285" spans="2:17" ht="24" customHeight="1" x14ac:dyDescent="0.2">
      <c r="B285" s="337"/>
      <c r="C285" s="534" t="s">
        <v>456</v>
      </c>
      <c r="D285" s="534" t="s">
        <v>406</v>
      </c>
      <c r="E285" s="535" t="s">
        <v>407</v>
      </c>
      <c r="G285" s="533" t="s">
        <v>405</v>
      </c>
      <c r="H285" s="367"/>
      <c r="I285" s="367"/>
      <c r="J285" s="367"/>
      <c r="K285" s="367"/>
      <c r="L285" s="367"/>
      <c r="M285" s="367"/>
      <c r="N285" s="367"/>
      <c r="O285" s="368"/>
    </row>
    <row r="286" spans="2:17" ht="24" customHeight="1" x14ac:dyDescent="0.2">
      <c r="B286" s="337" t="s">
        <v>409</v>
      </c>
      <c r="C286" s="317">
        <f>E297</f>
        <v>66461</v>
      </c>
      <c r="D286" s="369">
        <f>C286/$C$288</f>
        <v>3.9483019792220894E-2</v>
      </c>
      <c r="E286" s="391">
        <f>E298</f>
        <v>4.1125392711515017E-2</v>
      </c>
      <c r="G286" s="337" t="s">
        <v>408</v>
      </c>
      <c r="O286" s="370">
        <f>'Comp Analysis Template'!L21</f>
        <v>47.75859154929578</v>
      </c>
    </row>
    <row r="287" spans="2:17" ht="24" customHeight="1" x14ac:dyDescent="0.2">
      <c r="B287" s="337" t="s">
        <v>457</v>
      </c>
      <c r="C287" s="317">
        <f>E300</f>
        <v>1616819.5684507044</v>
      </c>
      <c r="D287" s="369">
        <f>C287/$C$288</f>
        <v>0.96051698020777909</v>
      </c>
      <c r="E287" s="391">
        <f>E307</f>
        <v>9.3200000000000005E-2</v>
      </c>
      <c r="G287" s="337" t="s">
        <v>410</v>
      </c>
      <c r="O287" s="371">
        <v>0</v>
      </c>
    </row>
    <row r="288" spans="2:17" ht="24" customHeight="1" x14ac:dyDescent="0.2">
      <c r="B288" s="337" t="s">
        <v>412</v>
      </c>
      <c r="C288" s="317">
        <f>SUM(C286:C287)</f>
        <v>1683280.5684507044</v>
      </c>
      <c r="D288" s="369">
        <f>SUM(D286:D287)</f>
        <v>1</v>
      </c>
      <c r="E288" s="391">
        <f>D286*E286+D287*E287</f>
        <v>9.1143937249756626E-2</v>
      </c>
      <c r="G288" s="337" t="s">
        <v>411</v>
      </c>
      <c r="O288" s="372">
        <f>'Comp Analysis Template'!L21</f>
        <v>47.75859154929578</v>
      </c>
    </row>
    <row r="289" spans="2:15" ht="24" customHeight="1" x14ac:dyDescent="0.2">
      <c r="B289" s="533" t="s">
        <v>414</v>
      </c>
      <c r="C289" s="367"/>
      <c r="D289" s="367"/>
      <c r="E289" s="368"/>
      <c r="G289" s="337" t="s">
        <v>413</v>
      </c>
      <c r="O289" s="338">
        <f>O20</f>
        <v>123281.98532091788</v>
      </c>
    </row>
    <row r="290" spans="2:15" ht="24" customHeight="1" x14ac:dyDescent="0.2">
      <c r="B290" s="337" t="s">
        <v>416</v>
      </c>
      <c r="E290" s="338">
        <f>-E25</f>
        <v>3210</v>
      </c>
      <c r="G290" s="337" t="s">
        <v>415</v>
      </c>
      <c r="O290" s="338">
        <f>O289*O288</f>
        <v>5887773.9823279949</v>
      </c>
    </row>
    <row r="291" spans="2:15" ht="24" customHeight="1" x14ac:dyDescent="0.2">
      <c r="B291" s="337" t="s">
        <v>418</v>
      </c>
      <c r="E291" s="338">
        <f>E248</f>
        <v>65136</v>
      </c>
      <c r="G291" s="337" t="s">
        <v>417</v>
      </c>
      <c r="O291" s="338">
        <f>O290/(1+E288)^10</f>
        <v>2461108.1062129578</v>
      </c>
    </row>
    <row r="292" spans="2:15" ht="24" customHeight="1" x14ac:dyDescent="0.2">
      <c r="B292" s="337" t="s">
        <v>419</v>
      </c>
      <c r="E292" s="391">
        <f>E290/E291</f>
        <v>4.9281503316138543E-2</v>
      </c>
      <c r="G292" s="533" t="s">
        <v>420</v>
      </c>
      <c r="H292" s="367"/>
      <c r="I292" s="367"/>
      <c r="J292" s="367"/>
      <c r="K292" s="367"/>
      <c r="L292" s="367"/>
      <c r="M292" s="367"/>
      <c r="N292" s="367"/>
      <c r="O292" s="368"/>
    </row>
    <row r="293" spans="2:15" ht="24" customHeight="1" x14ac:dyDescent="0.2">
      <c r="B293" s="337" t="s">
        <v>421</v>
      </c>
      <c r="E293" s="391">
        <f>E292*(1-$F$46)</f>
        <v>4.115005526897568E-2</v>
      </c>
      <c r="G293" s="337" t="s">
        <v>422</v>
      </c>
      <c r="O293" s="338">
        <f>O277</f>
        <v>95114.78284311475</v>
      </c>
    </row>
    <row r="294" spans="2:15" ht="24" customHeight="1" x14ac:dyDescent="0.2">
      <c r="B294" s="337" t="s">
        <v>423</v>
      </c>
      <c r="E294" s="338">
        <f>E180</f>
        <v>1325</v>
      </c>
      <c r="G294" s="337" t="s">
        <v>424</v>
      </c>
      <c r="O294" s="373">
        <v>0.03</v>
      </c>
    </row>
    <row r="295" spans="2:15" ht="24" customHeight="1" x14ac:dyDescent="0.2">
      <c r="B295" s="337" t="s">
        <v>242</v>
      </c>
      <c r="E295" s="391">
        <f>E185</f>
        <v>4.7800000000000002E-2</v>
      </c>
      <c r="G295" s="337" t="s">
        <v>460</v>
      </c>
      <c r="O295" s="338">
        <f>O293*(1+O294)/(E288-O294)</f>
        <v>1602255.7711361342</v>
      </c>
    </row>
    <row r="296" spans="2:15" ht="24" customHeight="1" x14ac:dyDescent="0.2">
      <c r="B296" s="337" t="s">
        <v>425</v>
      </c>
      <c r="E296" s="391">
        <f>E295*(1-$F$46)</f>
        <v>3.9912999999999997E-2</v>
      </c>
      <c r="G296" s="337" t="s">
        <v>417</v>
      </c>
      <c r="O296" s="338">
        <f>O295*O279</f>
        <v>669747.96899565484</v>
      </c>
    </row>
    <row r="297" spans="2:15" ht="24" customHeight="1" x14ac:dyDescent="0.2">
      <c r="B297" s="337" t="s">
        <v>426</v>
      </c>
      <c r="E297" s="338">
        <f>E291+E294</f>
        <v>66461</v>
      </c>
      <c r="G297" s="533" t="s">
        <v>428</v>
      </c>
      <c r="H297" s="367"/>
      <c r="I297" s="367"/>
      <c r="J297" s="367"/>
      <c r="K297" s="367"/>
      <c r="L297" s="367"/>
      <c r="M297" s="367"/>
      <c r="N297" s="367"/>
      <c r="O297" s="368"/>
    </row>
    <row r="298" spans="2:15" ht="24" customHeight="1" x14ac:dyDescent="0.2">
      <c r="B298" s="337" t="s">
        <v>427</v>
      </c>
      <c r="E298" s="391">
        <f>((E293*(E291/E297)+E296*(E294/E297)))</f>
        <v>4.1125392711515017E-2</v>
      </c>
      <c r="G298" s="337" t="s">
        <v>468</v>
      </c>
      <c r="O298" s="338">
        <f>E20</f>
        <v>34926</v>
      </c>
    </row>
    <row r="299" spans="2:15" ht="24" customHeight="1" x14ac:dyDescent="0.2">
      <c r="B299" s="533" t="s">
        <v>429</v>
      </c>
      <c r="C299" s="367"/>
      <c r="D299" s="367"/>
      <c r="E299" s="368"/>
      <c r="G299" s="337" t="s">
        <v>430</v>
      </c>
      <c r="O299" s="374">
        <f>O288</f>
        <v>47.75859154929578</v>
      </c>
    </row>
    <row r="300" spans="2:15" ht="24" customHeight="1" x14ac:dyDescent="0.2">
      <c r="B300" s="337" t="s">
        <v>428</v>
      </c>
      <c r="E300" s="338">
        <f>O302</f>
        <v>1616819.5684507044</v>
      </c>
      <c r="G300" s="337" t="s">
        <v>431</v>
      </c>
      <c r="O300" s="375">
        <f>O298*O299</f>
        <v>1668016.5684507044</v>
      </c>
    </row>
    <row r="301" spans="2:15" ht="24" customHeight="1" x14ac:dyDescent="0.2">
      <c r="B301" s="337" t="s">
        <v>432</v>
      </c>
      <c r="E301" s="373">
        <f>'Ke Related Data'!D31</f>
        <v>3.5000000000000003E-2</v>
      </c>
      <c r="G301" s="337" t="s">
        <v>461</v>
      </c>
      <c r="O301" s="375">
        <f>-(E291-E130)</f>
        <v>-51197</v>
      </c>
    </row>
    <row r="302" spans="2:15" ht="24" customHeight="1" thickBot="1" x14ac:dyDescent="0.25">
      <c r="B302" s="337" t="s">
        <v>458</v>
      </c>
      <c r="E302" s="373">
        <f>E301+'Ke Related Data'!E31</f>
        <v>8.5000000000000006E-2</v>
      </c>
      <c r="G302" s="340" t="s">
        <v>433</v>
      </c>
      <c r="H302" s="387"/>
      <c r="I302" s="387"/>
      <c r="J302" s="387"/>
      <c r="K302" s="387"/>
      <c r="L302" s="387"/>
      <c r="M302" s="387"/>
      <c r="N302" s="387"/>
      <c r="O302" s="403">
        <f>SUM(O300:O301)</f>
        <v>1616819.5684507044</v>
      </c>
    </row>
    <row r="303" spans="2:15" ht="24" customHeight="1" x14ac:dyDescent="0.2">
      <c r="B303" s="337" t="s">
        <v>434</v>
      </c>
      <c r="E303" s="392">
        <f>E302-E301</f>
        <v>0.05</v>
      </c>
      <c r="O303" s="376"/>
    </row>
    <row r="304" spans="2:15" ht="24" customHeight="1" x14ac:dyDescent="0.2">
      <c r="B304" s="337" t="s">
        <v>435</v>
      </c>
      <c r="E304" s="393">
        <v>1.22</v>
      </c>
      <c r="O304" s="376"/>
    </row>
    <row r="305" spans="2:15" ht="24" customHeight="1" x14ac:dyDescent="0.2">
      <c r="B305" s="337" t="s">
        <v>436</v>
      </c>
      <c r="E305" s="394">
        <f>E301+(E304*E303)</f>
        <v>9.6000000000000002E-2</v>
      </c>
      <c r="O305" s="376"/>
    </row>
    <row r="306" spans="2:15" ht="24" customHeight="1" x14ac:dyDescent="0.2">
      <c r="B306" s="337" t="s">
        <v>384</v>
      </c>
      <c r="E306" s="395">
        <f>'Ke Related Data'!E9</f>
        <v>-2.8E-3</v>
      </c>
      <c r="O306" s="376"/>
    </row>
    <row r="307" spans="2:15" ht="24" customHeight="1" thickBot="1" x14ac:dyDescent="0.25">
      <c r="B307" s="396" t="s">
        <v>437</v>
      </c>
      <c r="C307" s="397"/>
      <c r="D307" s="397"/>
      <c r="E307" s="398">
        <f>E305+E306</f>
        <v>9.3200000000000005E-2</v>
      </c>
      <c r="O307" s="376"/>
    </row>
    <row r="308" spans="2:15" ht="24" customHeight="1" thickBot="1" x14ac:dyDescent="0.25">
      <c r="B308" s="337"/>
      <c r="O308" s="376"/>
    </row>
    <row r="309" spans="2:15" ht="24" customHeight="1" x14ac:dyDescent="0.2">
      <c r="B309" s="532" t="s">
        <v>311</v>
      </c>
      <c r="C309" s="404"/>
      <c r="D309" s="404"/>
      <c r="E309" s="404"/>
      <c r="F309" s="404"/>
      <c r="G309" s="404"/>
      <c r="H309" s="404"/>
      <c r="I309" s="404"/>
      <c r="J309" s="404"/>
      <c r="K309" s="404"/>
      <c r="L309" s="404"/>
      <c r="M309" s="552" t="s">
        <v>492</v>
      </c>
      <c r="N309" s="529" t="s">
        <v>471</v>
      </c>
      <c r="O309" s="530" t="s">
        <v>472</v>
      </c>
    </row>
    <row r="310" spans="2:15" ht="24" customHeight="1" x14ac:dyDescent="0.2">
      <c r="B310" s="337"/>
      <c r="D310" s="531" t="s">
        <v>438</v>
      </c>
      <c r="E310" s="531" t="s">
        <v>439</v>
      </c>
      <c r="G310" s="409" t="s">
        <v>474</v>
      </c>
      <c r="M310" s="551">
        <v>0.65</v>
      </c>
      <c r="N310" s="378">
        <f>'Comp Analysis Template'!J17</f>
        <v>34.318869246036314</v>
      </c>
      <c r="O310" s="379">
        <f>'Comp Analysis Template'!L17</f>
        <v>53.75264927925874</v>
      </c>
    </row>
    <row r="311" spans="2:15" ht="24" customHeight="1" x14ac:dyDescent="0.2">
      <c r="B311" s="337" t="s">
        <v>440</v>
      </c>
      <c r="D311" s="317">
        <f>$O$281</f>
        <v>428268.00968420214</v>
      </c>
      <c r="E311" s="317">
        <f>$O$281</f>
        <v>428268.00968420214</v>
      </c>
      <c r="G311" s="409" t="s">
        <v>473</v>
      </c>
      <c r="M311" s="551">
        <v>0.15</v>
      </c>
      <c r="N311" s="378">
        <f>'Comp Analysis Template'!J18</f>
        <v>3.4608707433836146</v>
      </c>
      <c r="O311" s="379">
        <f>'Comp Analysis Template'!L18</f>
        <v>10.950357244927121</v>
      </c>
    </row>
    <row r="312" spans="2:15" ht="24" customHeight="1" x14ac:dyDescent="0.35">
      <c r="B312" s="337" t="s">
        <v>441</v>
      </c>
      <c r="D312" s="380">
        <f>O291</f>
        <v>2461108.1062129578</v>
      </c>
      <c r="E312" s="380">
        <f>O296</f>
        <v>669747.96899565484</v>
      </c>
      <c r="G312" s="409" t="s">
        <v>475</v>
      </c>
      <c r="M312" s="551">
        <v>0.25</v>
      </c>
      <c r="N312" s="378">
        <f>'Comp Analysis Template'!J19</f>
        <v>9.2996824388694819</v>
      </c>
      <c r="O312" s="379">
        <f>'Comp Analysis Template'!L19</f>
        <v>47.75859154929578</v>
      </c>
    </row>
    <row r="313" spans="2:15" ht="24" customHeight="1" x14ac:dyDescent="0.2">
      <c r="B313" s="337" t="s">
        <v>442</v>
      </c>
      <c r="D313" s="317">
        <f>SUM(D311:D312)</f>
        <v>2889376.11589716</v>
      </c>
      <c r="E313" s="317">
        <f>SUM(E311:E312)</f>
        <v>1098015.978679857</v>
      </c>
      <c r="G313" s="409" t="s">
        <v>490</v>
      </c>
      <c r="N313" s="549">
        <f>65%*N310+20%*N312+15%*N311</f>
        <v>24.686332109205043</v>
      </c>
      <c r="O313" s="550">
        <f>'Comp Analysis Template'!L21</f>
        <v>47.75859154929578</v>
      </c>
    </row>
    <row r="314" spans="2:15" ht="24" customHeight="1" x14ac:dyDescent="0.35">
      <c r="B314" s="337" t="s">
        <v>443</v>
      </c>
      <c r="D314" s="380">
        <f>-$E$297+$E$130</f>
        <v>-52522</v>
      </c>
      <c r="E314" s="380">
        <f>-$E$297+$E$130</f>
        <v>-52522</v>
      </c>
      <c r="G314" s="315" t="s">
        <v>463</v>
      </c>
      <c r="N314" s="381">
        <f>$O$287</f>
        <v>0</v>
      </c>
      <c r="O314" s="382">
        <f>$O$287</f>
        <v>0</v>
      </c>
    </row>
    <row r="315" spans="2:15" ht="24" customHeight="1" x14ac:dyDescent="0.2">
      <c r="B315" s="337" t="s">
        <v>433</v>
      </c>
      <c r="D315" s="317">
        <f>SUM(D313:D314)</f>
        <v>2836854.11589716</v>
      </c>
      <c r="E315" s="317">
        <f>SUM(E313:E314)</f>
        <v>1045493.978679857</v>
      </c>
      <c r="G315" s="315" t="s">
        <v>411</v>
      </c>
      <c r="N315" s="383">
        <f>IF(N314&gt;0,N313*(1-N314),N313)</f>
        <v>24.686332109205043</v>
      </c>
      <c r="O315" s="372">
        <f>IF(O314&gt;0,O313*(1-O314),O313)</f>
        <v>47.75859154929578</v>
      </c>
    </row>
    <row r="316" spans="2:15" ht="24" customHeight="1" x14ac:dyDescent="0.2">
      <c r="B316" s="511" t="s">
        <v>444</v>
      </c>
      <c r="C316" s="526"/>
      <c r="D316" s="527">
        <f>D315/D318</f>
        <v>598.33163748009906</v>
      </c>
      <c r="E316" s="527">
        <f>E315/E318</f>
        <v>220.50909164966725</v>
      </c>
      <c r="G316" s="315" t="s">
        <v>467</v>
      </c>
      <c r="N316" s="317">
        <f>E13</f>
        <v>63887</v>
      </c>
      <c r="O316" s="338">
        <f>E20</f>
        <v>34926</v>
      </c>
    </row>
    <row r="317" spans="2:15" ht="24" customHeight="1" x14ac:dyDescent="0.2">
      <c r="B317" s="337" t="s">
        <v>479</v>
      </c>
      <c r="D317" s="384">
        <f>'Comp Analysis Template'!$AA$13</f>
        <v>332.5</v>
      </c>
      <c r="E317" s="384">
        <f>'Comp Analysis Template'!$AA$13</f>
        <v>332.5</v>
      </c>
      <c r="G317" s="315" t="s">
        <v>464</v>
      </c>
      <c r="N317" s="317">
        <f>N316*N315</f>
        <v>1577135.6994607826</v>
      </c>
      <c r="O317" s="338">
        <f>O316*O315</f>
        <v>1668016.5684507044</v>
      </c>
    </row>
    <row r="318" spans="2:15" ht="24" customHeight="1" x14ac:dyDescent="0.35">
      <c r="B318" s="337" t="s">
        <v>459</v>
      </c>
      <c r="D318" s="343">
        <v>4741.2737989999996</v>
      </c>
      <c r="E318" s="343">
        <v>4741.2737989999996</v>
      </c>
      <c r="G318" s="315" t="s">
        <v>461</v>
      </c>
      <c r="N318" s="385">
        <f>$O$301</f>
        <v>-51197</v>
      </c>
      <c r="O318" s="386">
        <f>$O$301</f>
        <v>-51197</v>
      </c>
    </row>
    <row r="319" spans="2:15" ht="24" customHeight="1" x14ac:dyDescent="0.2">
      <c r="B319" s="337"/>
      <c r="G319" s="315" t="s">
        <v>465</v>
      </c>
      <c r="N319" s="317">
        <f>SUM(N317:N318)</f>
        <v>1525938.6994607826</v>
      </c>
      <c r="O319" s="338">
        <f>SUM(O317:O318)</f>
        <v>1616819.5684507044</v>
      </c>
    </row>
    <row r="320" spans="2:15" ht="24" customHeight="1" x14ac:dyDescent="0.2">
      <c r="B320" s="337"/>
      <c r="G320" s="526" t="s">
        <v>466</v>
      </c>
      <c r="H320" s="526"/>
      <c r="I320" s="526"/>
      <c r="J320" s="526"/>
      <c r="K320" s="526"/>
      <c r="L320" s="526"/>
      <c r="M320" s="526"/>
      <c r="N320" s="527">
        <f>N319/N321</f>
        <v>321.8415059224431</v>
      </c>
      <c r="O320" s="528">
        <f>O319/O321</f>
        <v>341.00953393404831</v>
      </c>
    </row>
    <row r="321" spans="2:20" ht="24" customHeight="1" thickBot="1" x14ac:dyDescent="0.25">
      <c r="B321" s="340"/>
      <c r="C321" s="387"/>
      <c r="D321" s="387"/>
      <c r="E321" s="387"/>
      <c r="F321" s="387"/>
      <c r="G321" s="388" t="s">
        <v>459</v>
      </c>
      <c r="H321" s="387"/>
      <c r="I321" s="387"/>
      <c r="J321" s="387"/>
      <c r="K321" s="387"/>
      <c r="L321" s="387"/>
      <c r="M321" s="387"/>
      <c r="N321" s="389">
        <f>$D$318</f>
        <v>4741.2737989999996</v>
      </c>
      <c r="O321" s="390">
        <f>$D$318</f>
        <v>4741.2737989999996</v>
      </c>
    </row>
    <row r="322" spans="2:20" ht="24" customHeight="1" x14ac:dyDescent="0.2">
      <c r="G322" s="333"/>
      <c r="N322" s="343"/>
      <c r="O322" s="343"/>
    </row>
    <row r="323" spans="2:20" ht="24" customHeight="1" thickBot="1" x14ac:dyDescent="0.25"/>
    <row r="324" spans="2:20" ht="24" customHeight="1" x14ac:dyDescent="0.2">
      <c r="B324" s="364" t="s">
        <v>312</v>
      </c>
      <c r="C324" s="365" t="str">
        <f t="shared" ref="C324:O324" si="197">C4</f>
        <v>2023A</v>
      </c>
      <c r="D324" s="365" t="str">
        <f t="shared" si="197"/>
        <v>2024A</v>
      </c>
      <c r="E324" s="365" t="str">
        <f t="shared" si="197"/>
        <v>2025A</v>
      </c>
      <c r="F324" s="365" t="str">
        <f t="shared" si="197"/>
        <v>2026P</v>
      </c>
      <c r="G324" s="365" t="str">
        <f t="shared" si="197"/>
        <v>2027P</v>
      </c>
      <c r="H324" s="365" t="str">
        <f t="shared" si="197"/>
        <v>2028P</v>
      </c>
      <c r="I324" s="365" t="str">
        <f t="shared" si="197"/>
        <v xml:space="preserve">2029P </v>
      </c>
      <c r="J324" s="365" t="str">
        <f t="shared" si="197"/>
        <v>2030P</v>
      </c>
      <c r="K324" s="365" t="str">
        <f t="shared" si="197"/>
        <v>2031P</v>
      </c>
      <c r="L324" s="365" t="str">
        <f t="shared" si="197"/>
        <v>2032P</v>
      </c>
      <c r="M324" s="365" t="str">
        <f t="shared" si="197"/>
        <v xml:space="preserve">2033P </v>
      </c>
      <c r="N324" s="365" t="str">
        <f t="shared" si="197"/>
        <v>2034P</v>
      </c>
      <c r="O324" s="366" t="str">
        <f t="shared" si="197"/>
        <v>2035P</v>
      </c>
      <c r="Q324" s="543" t="s">
        <v>486</v>
      </c>
      <c r="R324" s="544" t="s">
        <v>406</v>
      </c>
    </row>
    <row r="325" spans="2:20" ht="24" customHeight="1" x14ac:dyDescent="0.2">
      <c r="B325" s="337" t="s">
        <v>313</v>
      </c>
      <c r="C325" s="585">
        <f t="shared" ref="C325:O325" si="198">C20/C13</f>
        <v>0.56645914179625334</v>
      </c>
      <c r="D325" s="585">
        <f t="shared" si="198"/>
        <v>0.48978167293597547</v>
      </c>
      <c r="E325" s="585">
        <f t="shared" si="198"/>
        <v>0.54668398891793324</v>
      </c>
      <c r="F325" s="585">
        <f t="shared" si="198"/>
        <v>0.52721003004674061</v>
      </c>
      <c r="G325" s="585">
        <f t="shared" si="198"/>
        <v>0.52106224995080264</v>
      </c>
      <c r="H325" s="585">
        <f t="shared" si="198"/>
        <v>0.52923632754159333</v>
      </c>
      <c r="I325" s="585">
        <f t="shared" si="198"/>
        <v>0.53055152168061781</v>
      </c>
      <c r="J325" s="585">
        <f t="shared" si="198"/>
        <v>0.53278913551480811</v>
      </c>
      <c r="K325" s="585">
        <f t="shared" si="198"/>
        <v>0.53706097418333432</v>
      </c>
      <c r="L325" s="585">
        <f t="shared" si="198"/>
        <v>0.53823551011458692</v>
      </c>
      <c r="M325" s="585">
        <f t="shared" si="198"/>
        <v>0.55701572590852877</v>
      </c>
      <c r="N325" s="585">
        <f t="shared" si="198"/>
        <v>0.53378100717880372</v>
      </c>
      <c r="O325" s="520">
        <f t="shared" si="198"/>
        <v>0.53086240706344634</v>
      </c>
      <c r="Q325" s="547" t="s">
        <v>438</v>
      </c>
      <c r="R325" s="545">
        <v>0.35</v>
      </c>
    </row>
    <row r="326" spans="2:20" ht="24" customHeight="1" x14ac:dyDescent="0.2">
      <c r="B326" s="337" t="s">
        <v>314</v>
      </c>
      <c r="C326" s="586">
        <f t="shared" ref="C326:O326" si="199">C23*(1-C46)/(C97+C99)</f>
        <v>0.24279385417351784</v>
      </c>
      <c r="D326" s="586">
        <f t="shared" si="199"/>
        <v>7.013901839484081E-2</v>
      </c>
      <c r="E326" s="586">
        <f t="shared" si="199"/>
        <v>0.18171231563230764</v>
      </c>
      <c r="F326" s="586">
        <f t="shared" si="199"/>
        <v>0.19933265815782653</v>
      </c>
      <c r="G326" s="586">
        <f t="shared" si="199"/>
        <v>0.25308620866693626</v>
      </c>
      <c r="H326" s="586">
        <f t="shared" si="199"/>
        <v>0.27574268201656899</v>
      </c>
      <c r="I326" s="586">
        <f t="shared" si="199"/>
        <v>0.28844027784379633</v>
      </c>
      <c r="J326" s="586">
        <f t="shared" si="199"/>
        <v>0.28233277191785938</v>
      </c>
      <c r="K326" s="586">
        <f t="shared" si="199"/>
        <v>0.27142168033965935</v>
      </c>
      <c r="L326" s="586">
        <f t="shared" si="199"/>
        <v>0.25735482393509129</v>
      </c>
      <c r="M326" s="586">
        <f t="shared" si="199"/>
        <v>0.24892743730564237</v>
      </c>
      <c r="N326" s="586">
        <f t="shared" si="199"/>
        <v>0.22051233392929004</v>
      </c>
      <c r="O326" s="391">
        <f t="shared" si="199"/>
        <v>0.20280235289115789</v>
      </c>
      <c r="Q326" s="547" t="s">
        <v>487</v>
      </c>
      <c r="R326" s="545">
        <v>0.35</v>
      </c>
    </row>
    <row r="327" spans="2:20" ht="24" customHeight="1" x14ac:dyDescent="0.2">
      <c r="B327" s="337" t="s">
        <v>315</v>
      </c>
      <c r="C327" s="586">
        <f>C31/C99</f>
        <v>0.58704352176088048</v>
      </c>
      <c r="D327" s="586">
        <f t="shared" ref="D327:O327" si="200">D31/((C99+D99)/2)</f>
        <v>0.12861911722994349</v>
      </c>
      <c r="E327" s="586">
        <f t="shared" si="200"/>
        <v>0.31047861985634689</v>
      </c>
      <c r="F327" s="586">
        <f t="shared" si="200"/>
        <v>0.33065031264915012</v>
      </c>
      <c r="G327" s="586">
        <f t="shared" si="200"/>
        <v>0.38486302271298689</v>
      </c>
      <c r="H327" s="586">
        <f t="shared" si="200"/>
        <v>0.39757854550387695</v>
      </c>
      <c r="I327" s="586">
        <f t="shared" si="200"/>
        <v>0.38153607596578071</v>
      </c>
      <c r="J327" s="586">
        <f t="shared" si="200"/>
        <v>0.3593179648922708</v>
      </c>
      <c r="K327" s="586">
        <f t="shared" si="200"/>
        <v>0.33466273308171801</v>
      </c>
      <c r="L327" s="586">
        <f t="shared" si="200"/>
        <v>0.31235852277511761</v>
      </c>
      <c r="M327" s="586">
        <f t="shared" si="200"/>
        <v>0.29840405004783005</v>
      </c>
      <c r="N327" s="586">
        <f t="shared" si="200"/>
        <v>0.2624053204816349</v>
      </c>
      <c r="O327" s="391">
        <f t="shared" si="200"/>
        <v>0.24132382182989698</v>
      </c>
      <c r="Q327" s="547" t="s">
        <v>439</v>
      </c>
      <c r="R327" s="545">
        <v>0.2</v>
      </c>
    </row>
    <row r="328" spans="2:20" ht="24" customHeight="1" thickBot="1" x14ac:dyDescent="0.25">
      <c r="B328" s="337" t="s">
        <v>316</v>
      </c>
      <c r="C328" s="586">
        <f t="shared" ref="C328:O328" si="201">C31/C13</f>
        <v>0.39314330383316115</v>
      </c>
      <c r="D328" s="586">
        <f t="shared" si="201"/>
        <v>0.11430177996664986</v>
      </c>
      <c r="E328" s="586">
        <f t="shared" si="201"/>
        <v>0.36198287601546481</v>
      </c>
      <c r="F328" s="586">
        <f t="shared" si="201"/>
        <v>0.33248103816596358</v>
      </c>
      <c r="G328" s="586">
        <f t="shared" si="201"/>
        <v>0.36482130981774508</v>
      </c>
      <c r="H328" s="586">
        <f t="shared" si="201"/>
        <v>0.39532841150594517</v>
      </c>
      <c r="I328" s="586">
        <f t="shared" si="201"/>
        <v>0.41413780647728282</v>
      </c>
      <c r="J328" s="586">
        <f t="shared" si="201"/>
        <v>0.43098121405712919</v>
      </c>
      <c r="K328" s="586">
        <f t="shared" si="201"/>
        <v>0.44526312715278926</v>
      </c>
      <c r="L328" s="586">
        <f t="shared" si="201"/>
        <v>0.45831167156059049</v>
      </c>
      <c r="M328" s="586">
        <f t="shared" si="201"/>
        <v>0.48257044661016768</v>
      </c>
      <c r="N328" s="586">
        <f t="shared" si="201"/>
        <v>0.46886055158330381</v>
      </c>
      <c r="O328" s="391">
        <f t="shared" si="201"/>
        <v>0.47200386424147339</v>
      </c>
      <c r="Q328" s="548" t="s">
        <v>488</v>
      </c>
      <c r="R328" s="546">
        <v>0.1</v>
      </c>
    </row>
    <row r="329" spans="2:20" ht="24" customHeight="1" x14ac:dyDescent="0.2">
      <c r="B329" s="337" t="s">
        <v>317</v>
      </c>
      <c r="C329" s="587">
        <f t="shared" ref="C329:O329" si="202">C13/C89</f>
        <v>0.4916073070641358</v>
      </c>
      <c r="D329" s="587">
        <f t="shared" si="202"/>
        <v>0.31135259138519122</v>
      </c>
      <c r="E329" s="587">
        <f t="shared" si="202"/>
        <v>0.37340728964533704</v>
      </c>
      <c r="F329" s="587">
        <f t="shared" si="202"/>
        <v>0.46589079883466655</v>
      </c>
      <c r="G329" s="587">
        <f t="shared" si="202"/>
        <v>0.55063352484326311</v>
      </c>
      <c r="H329" s="587">
        <f t="shared" si="202"/>
        <v>0.56955879937322329</v>
      </c>
      <c r="I329" s="587">
        <f t="shared" si="202"/>
        <v>0.58131593655701275</v>
      </c>
      <c r="J329" s="587">
        <f t="shared" si="202"/>
        <v>0.56248248621942176</v>
      </c>
      <c r="K329" s="587">
        <f t="shared" si="202"/>
        <v>0.53722607958221935</v>
      </c>
      <c r="L329" s="587">
        <f t="shared" si="202"/>
        <v>0.5075140315671457</v>
      </c>
      <c r="M329" s="587">
        <f t="shared" si="202"/>
        <v>0.47680252205266305</v>
      </c>
      <c r="N329" s="587">
        <f t="shared" si="202"/>
        <v>0.44698146699922309</v>
      </c>
      <c r="O329" s="379">
        <f t="shared" si="202"/>
        <v>0.41833816327252865</v>
      </c>
    </row>
    <row r="330" spans="2:20" ht="24" customHeight="1" x14ac:dyDescent="0.2">
      <c r="B330" s="337" t="s">
        <v>318</v>
      </c>
      <c r="C330" s="587">
        <f t="shared" ref="C330:O330" si="203">C89/C99</f>
        <v>3.0373936968484241</v>
      </c>
      <c r="D330" s="587">
        <f t="shared" si="203"/>
        <v>2.4475457312568336</v>
      </c>
      <c r="E330" s="587">
        <f t="shared" si="203"/>
        <v>2.1046597451163707</v>
      </c>
      <c r="F330" s="587">
        <f t="shared" si="203"/>
        <v>1.9628809028555387</v>
      </c>
      <c r="G330" s="587">
        <f t="shared" si="203"/>
        <v>1.7298112823171321</v>
      </c>
      <c r="H330" s="587">
        <f t="shared" si="203"/>
        <v>1.5891777293589309</v>
      </c>
      <c r="I330" s="587">
        <f t="shared" si="203"/>
        <v>1.4311649263938355</v>
      </c>
      <c r="J330" s="587">
        <f t="shared" si="203"/>
        <v>1.3524932883586616</v>
      </c>
      <c r="K330" s="587">
        <f t="shared" si="203"/>
        <v>1.2870236971089231</v>
      </c>
      <c r="L330" s="587">
        <f t="shared" si="203"/>
        <v>1.2409092860219872</v>
      </c>
      <c r="M330" s="587">
        <f t="shared" si="203"/>
        <v>1.2038005773791778</v>
      </c>
      <c r="N330" s="587">
        <f t="shared" si="203"/>
        <v>1.1714351904256937</v>
      </c>
      <c r="O330" s="379">
        <f t="shared" si="203"/>
        <v>1.148923988810024</v>
      </c>
    </row>
    <row r="331" spans="2:20" ht="24" customHeight="1" x14ac:dyDescent="0.2">
      <c r="B331" s="337" t="s">
        <v>319</v>
      </c>
      <c r="C331" s="588">
        <f>C31/4625</f>
        <v>3.0447567567567568</v>
      </c>
      <c r="D331" s="588">
        <f>D31/4730</f>
        <v>1.2463002114164905</v>
      </c>
      <c r="E331" s="588">
        <f>E31/4741</f>
        <v>4.877873866272938</v>
      </c>
      <c r="F331" s="588">
        <f t="shared" ref="F331:O331" si="204">F31/$D$318</f>
        <v>6.2127307068488067</v>
      </c>
      <c r="G331" s="588">
        <f t="shared" si="204"/>
        <v>8.8117351518214342</v>
      </c>
      <c r="H331" s="588">
        <f t="shared" si="204"/>
        <v>11.342030437780398</v>
      </c>
      <c r="I331" s="588">
        <f t="shared" si="204"/>
        <v>13.548181006298396</v>
      </c>
      <c r="J331" s="588">
        <f t="shared" si="204"/>
        <v>15.62799905694434</v>
      </c>
      <c r="K331" s="588">
        <f t="shared" si="204"/>
        <v>17.472629237557179</v>
      </c>
      <c r="L331" s="588">
        <f t="shared" si="204"/>
        <v>19.315211224098572</v>
      </c>
      <c r="M331" s="588">
        <f t="shared" si="204"/>
        <v>21.642691848319441</v>
      </c>
      <c r="N331" s="588">
        <f t="shared" si="204"/>
        <v>22.019908015014305</v>
      </c>
      <c r="O331" s="521">
        <f t="shared" si="204"/>
        <v>23.118953217505879</v>
      </c>
      <c r="Q331" s="526"/>
      <c r="R331" s="526"/>
      <c r="S331" s="527"/>
      <c r="T331" s="526"/>
    </row>
    <row r="332" spans="2:20" ht="24" customHeight="1" x14ac:dyDescent="0.2">
      <c r="B332" s="511" t="s">
        <v>489</v>
      </c>
      <c r="C332" s="588"/>
      <c r="D332" s="588"/>
      <c r="E332" s="589">
        <f>D316*R325+E316*R327+N320*R328+O320*R326</f>
        <v>405.0553789171293</v>
      </c>
      <c r="F332" s="588"/>
      <c r="G332" s="588"/>
      <c r="H332" s="588"/>
      <c r="I332" s="588"/>
      <c r="J332" s="588"/>
      <c r="K332" s="588"/>
      <c r="L332" s="588"/>
      <c r="M332" s="588"/>
      <c r="N332" s="588"/>
      <c r="O332" s="521"/>
    </row>
    <row r="333" spans="2:20" ht="24" customHeight="1" x14ac:dyDescent="0.2">
      <c r="B333" s="337" t="s">
        <v>321</v>
      </c>
      <c r="C333" s="587">
        <f t="shared" ref="C333:O333" si="205">C250</f>
        <v>12.50924784217016</v>
      </c>
      <c r="D333" s="587">
        <f t="shared" si="205"/>
        <v>6.3900834809005822</v>
      </c>
      <c r="E333" s="587">
        <f t="shared" si="205"/>
        <v>10.880373831775701</v>
      </c>
      <c r="F333" s="587">
        <f t="shared" si="205"/>
        <v>15.413255931560188</v>
      </c>
      <c r="G333" s="587">
        <f t="shared" si="205"/>
        <v>20.982816326349759</v>
      </c>
      <c r="H333" s="587">
        <f t="shared" si="205"/>
        <v>31.085754417617494</v>
      </c>
      <c r="I333" s="587">
        <f t="shared" si="205"/>
        <v>38.748902788453137</v>
      </c>
      <c r="J333" s="587">
        <f t="shared" si="205"/>
        <v>58.934982498137821</v>
      </c>
      <c r="K333" s="587">
        <f t="shared" si="205"/>
        <v>74.445435065808979</v>
      </c>
      <c r="L333" s="587">
        <f t="shared" si="205"/>
        <v>99.263832872595074</v>
      </c>
      <c r="M333" s="587">
        <f t="shared" si="205"/>
        <v>131.59127956878757</v>
      </c>
      <c r="N333" s="587">
        <f t="shared" si="205"/>
        <v>165.06050858574011</v>
      </c>
      <c r="O333" s="379">
        <f t="shared" si="205"/>
        <v>249.14511402311524</v>
      </c>
    </row>
    <row r="334" spans="2:20" ht="24" customHeight="1" thickBot="1" x14ac:dyDescent="0.25">
      <c r="B334" s="340" t="s">
        <v>322</v>
      </c>
      <c r="C334" s="522">
        <f t="shared" ref="C334:O334" si="206">C253</f>
        <v>1.9334154756037456</v>
      </c>
      <c r="D334" s="522">
        <f t="shared" si="206"/>
        <v>2.6748218527315912</v>
      </c>
      <c r="E334" s="522">
        <f t="shared" si="206"/>
        <v>1.8649716543549217</v>
      </c>
      <c r="F334" s="522">
        <f t="shared" si="206"/>
        <v>1.3529920455608491</v>
      </c>
      <c r="G334" s="522">
        <f t="shared" si="206"/>
        <v>0.86245740459418296</v>
      </c>
      <c r="H334" s="522">
        <f t="shared" si="206"/>
        <v>0.65555528708023347</v>
      </c>
      <c r="I334" s="522">
        <f t="shared" si="206"/>
        <v>0.41971167289443201</v>
      </c>
      <c r="J334" s="522">
        <f t="shared" si="206"/>
        <v>0.32562230194435732</v>
      </c>
      <c r="K334" s="522">
        <f t="shared" si="206"/>
        <v>0.24095847862110242</v>
      </c>
      <c r="L334" s="522">
        <f t="shared" si="206"/>
        <v>0.1859805363391423</v>
      </c>
      <c r="M334" s="522">
        <f t="shared" si="206"/>
        <v>0.13510182616993932</v>
      </c>
      <c r="N334" s="522">
        <f t="shared" si="206"/>
        <v>9.2513427735568754E-2</v>
      </c>
      <c r="O334" s="523">
        <f t="shared" si="206"/>
        <v>6.2831564399585454E-2</v>
      </c>
    </row>
    <row r="389" spans="17:17" ht="24" customHeight="1" x14ac:dyDescent="0.2">
      <c r="Q389" s="323"/>
    </row>
    <row r="390" spans="17:17" ht="24" customHeight="1" x14ac:dyDescent="0.2">
      <c r="Q390" s="323"/>
    </row>
    <row r="391" spans="17:17" ht="24" customHeight="1" x14ac:dyDescent="0.2">
      <c r="Q391" s="323"/>
    </row>
    <row r="392" spans="17:17" ht="24" customHeight="1" x14ac:dyDescent="0.2">
      <c r="Q392" s="324"/>
    </row>
    <row r="393" spans="17:17" ht="24" customHeight="1" x14ac:dyDescent="0.2">
      <c r="Q393" s="324"/>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2F708-6800-EF4D-8233-87B2AC8A9265}">
  <dimension ref="A2:U392"/>
  <sheetViews>
    <sheetView showGridLines="0" topLeftCell="A108" zoomScale="88" zoomScaleNormal="100" workbookViewId="0"/>
  </sheetViews>
  <sheetFormatPr baseColWidth="10" defaultColWidth="11" defaultRowHeight="16" outlineLevelRow="1" x14ac:dyDescent="0.2"/>
  <cols>
    <col min="2" max="2" width="70.5" customWidth="1"/>
    <col min="3" max="3" width="17.6640625" bestFit="1" customWidth="1"/>
    <col min="4" max="5" width="12.1640625" customWidth="1"/>
    <col min="6" max="13" width="11" bestFit="1" customWidth="1"/>
    <col min="14" max="15" width="12.6640625" customWidth="1"/>
    <col min="16" max="16" width="24.5" style="1" customWidth="1"/>
    <col min="17" max="17" width="31.5" customWidth="1"/>
    <col min="18" max="18" width="52.5" customWidth="1"/>
  </cols>
  <sheetData>
    <row r="2" spans="2:20" ht="19" x14ac:dyDescent="0.25">
      <c r="M2" t="s">
        <v>0</v>
      </c>
      <c r="Q2" s="74" t="s">
        <v>1</v>
      </c>
    </row>
    <row r="3" spans="2:20" ht="19" x14ac:dyDescent="0.25">
      <c r="Q3" s="74" t="s">
        <v>2</v>
      </c>
    </row>
    <row r="4" spans="2:20" ht="19" x14ac:dyDescent="0.25">
      <c r="Q4" s="74"/>
    </row>
    <row r="5" spans="2:20" x14ac:dyDescent="0.2">
      <c r="B5" s="2" t="s">
        <v>3</v>
      </c>
      <c r="C5" s="3" t="s">
        <v>4</v>
      </c>
      <c r="D5" s="3" t="s">
        <v>5</v>
      </c>
      <c r="E5" s="3" t="s">
        <v>6</v>
      </c>
      <c r="F5" s="3" t="s">
        <v>7</v>
      </c>
      <c r="G5" s="3" t="s">
        <v>8</v>
      </c>
      <c r="H5" s="3" t="s">
        <v>9</v>
      </c>
      <c r="I5" s="3" t="s">
        <v>10</v>
      </c>
      <c r="J5" s="3" t="s">
        <v>11</v>
      </c>
      <c r="K5" s="3" t="s">
        <v>12</v>
      </c>
      <c r="L5" s="3" t="s">
        <v>13</v>
      </c>
      <c r="M5" s="3" t="s">
        <v>14</v>
      </c>
      <c r="N5" s="3" t="s">
        <v>15</v>
      </c>
      <c r="O5" s="3" t="s">
        <v>16</v>
      </c>
      <c r="P5" s="1" t="s">
        <v>17</v>
      </c>
      <c r="Q5" s="2" t="s">
        <v>18</v>
      </c>
      <c r="R5" s="2"/>
    </row>
    <row r="6" spans="2:20" ht="18" customHeight="1" outlineLevel="1" x14ac:dyDescent="0.2">
      <c r="B6" t="s">
        <v>19</v>
      </c>
      <c r="C6" s="107">
        <v>28949</v>
      </c>
      <c r="D6" s="107">
        <f>34960</f>
        <v>34960</v>
      </c>
      <c r="E6" s="107">
        <v>44847</v>
      </c>
      <c r="F6" s="101">
        <f t="shared" ref="F6:O6" si="0">E6*(1+F35)</f>
        <v>56825.633700000006</v>
      </c>
      <c r="G6" s="101">
        <f t="shared" si="0"/>
        <v>68190.760439999998</v>
      </c>
      <c r="H6" s="101">
        <f t="shared" si="0"/>
        <v>78419.374505999993</v>
      </c>
      <c r="I6" s="101">
        <f t="shared" si="0"/>
        <v>88613.893191779978</v>
      </c>
      <c r="J6" s="101">
        <f t="shared" si="0"/>
        <v>97475.282510957986</v>
      </c>
      <c r="K6" s="101">
        <f t="shared" si="0"/>
        <v>105273.30511183463</v>
      </c>
      <c r="L6" s="101">
        <f t="shared" si="0"/>
        <v>112642.43646966307</v>
      </c>
      <c r="M6" s="101">
        <f t="shared" si="0"/>
        <v>119400.98265784286</v>
      </c>
      <c r="N6" s="101">
        <f t="shared" si="0"/>
        <v>125371.03179073501</v>
      </c>
      <c r="O6" s="101">
        <f t="shared" si="0"/>
        <v>130385.87306236442</v>
      </c>
      <c r="Q6" s="4" t="s">
        <v>20</v>
      </c>
      <c r="R6" s="5" t="s">
        <v>24</v>
      </c>
    </row>
    <row r="7" spans="2:20" ht="19" outlineLevel="1" x14ac:dyDescent="0.35">
      <c r="B7" t="s">
        <v>22</v>
      </c>
      <c r="C7" s="102">
        <f>C52</f>
        <v>8553</v>
      </c>
      <c r="D7" s="102">
        <f>D52</f>
        <v>9686</v>
      </c>
      <c r="E7" s="102">
        <f>E52</f>
        <v>11897</v>
      </c>
      <c r="F7" s="102">
        <f t="shared" ref="F7:O7" si="1">F6-F8</f>
        <v>17047.690110000003</v>
      </c>
      <c r="G7" s="102">
        <f t="shared" si="1"/>
        <v>20457.228132000004</v>
      </c>
      <c r="H7" s="102">
        <f t="shared" si="1"/>
        <v>23525.812351799999</v>
      </c>
      <c r="I7" s="102">
        <f t="shared" si="1"/>
        <v>23925.751161780594</v>
      </c>
      <c r="J7" s="102">
        <f t="shared" si="1"/>
        <v>26318.326277958651</v>
      </c>
      <c r="K7" s="102">
        <f t="shared" si="1"/>
        <v>28423.792380195358</v>
      </c>
      <c r="L7" s="102">
        <f t="shared" si="1"/>
        <v>30413.457846809033</v>
      </c>
      <c r="M7" s="102">
        <f t="shared" si="1"/>
        <v>32238.265317617581</v>
      </c>
      <c r="N7" s="102">
        <f t="shared" si="1"/>
        <v>33850.178583498462</v>
      </c>
      <c r="O7" s="102">
        <f t="shared" si="1"/>
        <v>35204.18572683839</v>
      </c>
      <c r="Q7" s="4" t="s">
        <v>20</v>
      </c>
      <c r="R7" s="5" t="s">
        <v>21</v>
      </c>
    </row>
    <row r="8" spans="2:20" ht="19" customHeight="1" outlineLevel="1" x14ac:dyDescent="0.2">
      <c r="B8" t="s">
        <v>23</v>
      </c>
      <c r="C8" s="101">
        <f t="shared" ref="C8" si="2">C6-C7</f>
        <v>20396</v>
      </c>
      <c r="D8" s="101">
        <f>D6-D7</f>
        <v>25274</v>
      </c>
      <c r="E8" s="101">
        <f>E6-E7</f>
        <v>32950</v>
      </c>
      <c r="F8" s="101">
        <f t="shared" ref="F8:O8" si="3">F37*F6</f>
        <v>39777.943590000003</v>
      </c>
      <c r="G8" s="101">
        <f t="shared" si="3"/>
        <v>47733.532307999994</v>
      </c>
      <c r="H8" s="101">
        <f t="shared" si="3"/>
        <v>54893.562154199994</v>
      </c>
      <c r="I8" s="101">
        <f t="shared" si="3"/>
        <v>64688.142029999384</v>
      </c>
      <c r="J8" s="101">
        <f t="shared" si="3"/>
        <v>71156.956232999335</v>
      </c>
      <c r="K8" s="101">
        <f t="shared" si="3"/>
        <v>76849.512731639275</v>
      </c>
      <c r="L8" s="101">
        <f t="shared" si="3"/>
        <v>82228.978622854032</v>
      </c>
      <c r="M8" s="101">
        <f t="shared" si="3"/>
        <v>87162.717340225281</v>
      </c>
      <c r="N8" s="101">
        <f t="shared" si="3"/>
        <v>91520.853207236549</v>
      </c>
      <c r="O8" s="101">
        <f t="shared" si="3"/>
        <v>95181.687335526032</v>
      </c>
      <c r="Q8" s="4" t="s">
        <v>20</v>
      </c>
      <c r="R8" s="5" t="s">
        <v>478</v>
      </c>
    </row>
    <row r="9" spans="2:20" ht="19" customHeight="1" outlineLevel="1" x14ac:dyDescent="0.2">
      <c r="C9" s="101"/>
      <c r="D9" s="101"/>
      <c r="E9" s="101"/>
      <c r="F9" s="101"/>
      <c r="G9" s="101"/>
      <c r="H9" s="101"/>
      <c r="I9" s="101"/>
      <c r="J9" s="101"/>
      <c r="K9" s="101"/>
      <c r="L9" s="101"/>
      <c r="M9" s="101"/>
      <c r="N9" s="101"/>
      <c r="O9" s="101"/>
      <c r="Q9" s="4" t="s">
        <v>20</v>
      </c>
      <c r="R9" s="5" t="s">
        <v>25</v>
      </c>
    </row>
    <row r="10" spans="2:20" ht="19" customHeight="1" outlineLevel="1" x14ac:dyDescent="0.2">
      <c r="B10" t="s">
        <v>26</v>
      </c>
      <c r="C10" s="107">
        <v>6870</v>
      </c>
      <c r="D10" s="107">
        <v>16614</v>
      </c>
      <c r="E10" s="107">
        <v>19040</v>
      </c>
      <c r="F10" s="101">
        <f t="shared" ref="F10:O10" si="4">E10*(1+F36)</f>
        <v>21324.800000000003</v>
      </c>
      <c r="G10" s="101">
        <f t="shared" si="4"/>
        <v>23030.784000000003</v>
      </c>
      <c r="H10" s="101">
        <f t="shared" si="4"/>
        <v>24412.631040000004</v>
      </c>
      <c r="I10" s="101">
        <f t="shared" si="4"/>
        <v>25633.262592000006</v>
      </c>
      <c r="J10" s="101">
        <f t="shared" si="4"/>
        <v>26914.925721600008</v>
      </c>
      <c r="K10" s="101">
        <f t="shared" si="4"/>
        <v>27991.52275046401</v>
      </c>
      <c r="L10" s="101">
        <f t="shared" si="4"/>
        <v>29111.183660482569</v>
      </c>
      <c r="M10" s="101">
        <f t="shared" si="4"/>
        <v>29984.519170297048</v>
      </c>
      <c r="N10" s="101">
        <f t="shared" si="4"/>
        <v>30884.05474540596</v>
      </c>
      <c r="O10" s="101">
        <f t="shared" si="4"/>
        <v>31810.576387768138</v>
      </c>
      <c r="Q10" s="6" t="s">
        <v>27</v>
      </c>
      <c r="R10" s="5" t="s">
        <v>28</v>
      </c>
    </row>
    <row r="11" spans="2:20" ht="18" customHeight="1" outlineLevel="1" x14ac:dyDescent="0.35">
      <c r="B11" t="s">
        <v>29</v>
      </c>
      <c r="C11" s="131">
        <f>C55</f>
        <v>509</v>
      </c>
      <c r="D11" s="131">
        <f t="shared" ref="D11:E11" si="5">D55</f>
        <v>2438</v>
      </c>
      <c r="E11" s="131">
        <f t="shared" si="5"/>
        <v>1745</v>
      </c>
      <c r="F11" s="102">
        <f t="shared" ref="F11:O11" si="6">F10-F12</f>
        <v>2452.351999999999</v>
      </c>
      <c r="G11" s="102">
        <f t="shared" si="6"/>
        <v>2533.3862399999998</v>
      </c>
      <c r="H11" s="102">
        <f t="shared" si="6"/>
        <v>2685.3894144000005</v>
      </c>
      <c r="I11" s="102">
        <f t="shared" si="6"/>
        <v>2819.6588851199995</v>
      </c>
      <c r="J11" s="102">
        <f t="shared" si="6"/>
        <v>2960.6418293759998</v>
      </c>
      <c r="K11" s="102">
        <f t="shared" si="6"/>
        <v>3079.0675025510391</v>
      </c>
      <c r="L11" s="102">
        <f t="shared" si="6"/>
        <v>3202.2302026530815</v>
      </c>
      <c r="M11" s="102">
        <f t="shared" si="6"/>
        <v>3298.2971087326732</v>
      </c>
      <c r="N11" s="102">
        <f t="shared" si="6"/>
        <v>3397.2460219946552</v>
      </c>
      <c r="O11" s="102">
        <f t="shared" si="6"/>
        <v>3499.1634026544962</v>
      </c>
      <c r="Q11" s="6" t="s">
        <v>30</v>
      </c>
      <c r="R11" s="5" t="s">
        <v>31</v>
      </c>
    </row>
    <row r="12" spans="2:20" ht="19" customHeight="1" outlineLevel="1" x14ac:dyDescent="0.2">
      <c r="B12" t="s">
        <v>32</v>
      </c>
      <c r="C12" s="101">
        <f>C10-C11</f>
        <v>6361</v>
      </c>
      <c r="D12" s="101">
        <f t="shared" ref="D12:E12" si="7">D10-D11</f>
        <v>14176</v>
      </c>
      <c r="E12" s="101">
        <f t="shared" si="7"/>
        <v>17295</v>
      </c>
      <c r="F12" s="101">
        <f t="shared" ref="F12:O12" si="8">F10*F38</f>
        <v>18872.448000000004</v>
      </c>
      <c r="G12" s="101">
        <f t="shared" si="8"/>
        <v>20497.397760000003</v>
      </c>
      <c r="H12" s="101">
        <f t="shared" si="8"/>
        <v>21727.241625600003</v>
      </c>
      <c r="I12" s="101">
        <f t="shared" si="8"/>
        <v>22813.603706880007</v>
      </c>
      <c r="J12" s="101">
        <f t="shared" si="8"/>
        <v>23954.283892224008</v>
      </c>
      <c r="K12" s="101">
        <f t="shared" si="8"/>
        <v>24912.455247912971</v>
      </c>
      <c r="L12" s="101">
        <f t="shared" si="8"/>
        <v>25908.953457829488</v>
      </c>
      <c r="M12" s="101">
        <f t="shared" si="8"/>
        <v>26686.222061564375</v>
      </c>
      <c r="N12" s="101">
        <f t="shared" si="8"/>
        <v>27486.808723411305</v>
      </c>
      <c r="O12" s="101">
        <f t="shared" si="8"/>
        <v>28311.412985113642</v>
      </c>
    </row>
    <row r="13" spans="2:20" ht="19" customHeight="1" outlineLevel="1" x14ac:dyDescent="0.2">
      <c r="C13" s="101"/>
      <c r="D13" s="101"/>
      <c r="E13" s="101"/>
      <c r="F13" s="101"/>
      <c r="G13" s="101"/>
      <c r="H13" s="101"/>
      <c r="I13" s="101"/>
      <c r="J13" s="101"/>
      <c r="K13" s="101"/>
      <c r="L13" s="101"/>
      <c r="M13" s="101"/>
      <c r="N13" s="101"/>
      <c r="O13" s="101"/>
    </row>
    <row r="14" spans="2:20" ht="19" customHeight="1" outlineLevel="1" thickBot="1" x14ac:dyDescent="0.25">
      <c r="B14" t="s">
        <v>33</v>
      </c>
      <c r="C14" s="101">
        <f>C6+C10</f>
        <v>35819</v>
      </c>
      <c r="D14" s="101">
        <f t="shared" ref="C14:O15" si="9">D6+D10</f>
        <v>51574</v>
      </c>
      <c r="E14" s="101">
        <f t="shared" si="9"/>
        <v>63887</v>
      </c>
      <c r="F14" s="101">
        <f t="shared" si="9"/>
        <v>78150.433700000009</v>
      </c>
      <c r="G14" s="101">
        <f t="shared" si="9"/>
        <v>91221.544439999998</v>
      </c>
      <c r="H14" s="101">
        <f t="shared" si="9"/>
        <v>102832.005546</v>
      </c>
      <c r="I14" s="101">
        <f t="shared" si="9"/>
        <v>114247.15578377998</v>
      </c>
      <c r="J14" s="101">
        <f t="shared" si="9"/>
        <v>124390.208232558</v>
      </c>
      <c r="K14" s="101">
        <f t="shared" si="9"/>
        <v>133264.82786229864</v>
      </c>
      <c r="L14" s="101">
        <f t="shared" si="9"/>
        <v>141753.62013014563</v>
      </c>
      <c r="M14" s="101">
        <f t="shared" si="9"/>
        <v>149385.50182813991</v>
      </c>
      <c r="N14" s="101">
        <f t="shared" si="9"/>
        <v>156255.08653614097</v>
      </c>
      <c r="O14" s="101">
        <f t="shared" si="9"/>
        <v>162196.44945013255</v>
      </c>
    </row>
    <row r="15" spans="2:20" ht="19" customHeight="1" outlineLevel="1" thickBot="1" x14ac:dyDescent="0.4">
      <c r="B15" t="s">
        <v>34</v>
      </c>
      <c r="C15" s="102">
        <f t="shared" si="9"/>
        <v>9062</v>
      </c>
      <c r="D15" s="102">
        <f t="shared" si="9"/>
        <v>12124</v>
      </c>
      <c r="E15" s="102">
        <f t="shared" si="9"/>
        <v>13642</v>
      </c>
      <c r="F15" s="102">
        <f t="shared" si="9"/>
        <v>19500.042110000002</v>
      </c>
      <c r="G15" s="102">
        <f t="shared" si="9"/>
        <v>22990.614372000004</v>
      </c>
      <c r="H15" s="102">
        <f t="shared" si="9"/>
        <v>26211.2017662</v>
      </c>
      <c r="I15" s="102">
        <f t="shared" si="9"/>
        <v>26745.410046900593</v>
      </c>
      <c r="J15" s="102">
        <f t="shared" si="9"/>
        <v>29278.968107334651</v>
      </c>
      <c r="K15" s="102">
        <f t="shared" si="9"/>
        <v>31502.859882746397</v>
      </c>
      <c r="L15" s="102">
        <f t="shared" si="9"/>
        <v>33615.688049462115</v>
      </c>
      <c r="M15" s="102">
        <f t="shared" si="9"/>
        <v>35536.562426350254</v>
      </c>
      <c r="N15" s="102">
        <f t="shared" si="9"/>
        <v>37247.424605493114</v>
      </c>
      <c r="O15" s="102">
        <f t="shared" si="9"/>
        <v>38703.349129492883</v>
      </c>
      <c r="Q15" s="304" t="s">
        <v>35</v>
      </c>
      <c r="R15" s="7" t="s">
        <v>36</v>
      </c>
      <c r="S15" s="7" t="s">
        <v>37</v>
      </c>
      <c r="T15" s="82"/>
    </row>
    <row r="16" spans="2:20" ht="15.75" customHeight="1" outlineLevel="1" thickBot="1" x14ac:dyDescent="0.25">
      <c r="B16" t="s">
        <v>38</v>
      </c>
      <c r="C16" s="101">
        <f t="shared" ref="C16:O16" si="10">C14-C15</f>
        <v>26757</v>
      </c>
      <c r="D16" s="101">
        <f t="shared" si="10"/>
        <v>39450</v>
      </c>
      <c r="E16" s="101">
        <f t="shared" si="10"/>
        <v>50245</v>
      </c>
      <c r="F16" s="101">
        <f t="shared" si="10"/>
        <v>58650.391590000007</v>
      </c>
      <c r="G16" s="101">
        <f t="shared" si="10"/>
        <v>68230.930067999987</v>
      </c>
      <c r="H16" s="101">
        <f t="shared" si="10"/>
        <v>76620.8037798</v>
      </c>
      <c r="I16" s="101">
        <f t="shared" si="10"/>
        <v>87501.745736879384</v>
      </c>
      <c r="J16" s="101">
        <f t="shared" si="10"/>
        <v>95111.240125223354</v>
      </c>
      <c r="K16" s="101">
        <f t="shared" si="10"/>
        <v>101761.96797955224</v>
      </c>
      <c r="L16" s="101">
        <f t="shared" si="10"/>
        <v>108137.93208068352</v>
      </c>
      <c r="M16" s="101">
        <f t="shared" si="10"/>
        <v>113848.93940178966</v>
      </c>
      <c r="N16" s="101">
        <f t="shared" si="10"/>
        <v>119007.66193064785</v>
      </c>
      <c r="O16" s="101">
        <f t="shared" si="10"/>
        <v>123493.10032063967</v>
      </c>
      <c r="Q16" s="8"/>
      <c r="R16" s="9"/>
      <c r="S16" s="10"/>
      <c r="T16" s="10"/>
    </row>
    <row r="17" spans="2:20" ht="15.75" customHeight="1" outlineLevel="1" x14ac:dyDescent="0.25">
      <c r="B17" s="80" t="s">
        <v>39</v>
      </c>
      <c r="C17" s="101">
        <f>C59</f>
        <v>3238</v>
      </c>
      <c r="D17" s="101">
        <f t="shared" ref="D17:E17" si="11">D59</f>
        <v>5257</v>
      </c>
      <c r="E17" s="101">
        <f t="shared" si="11"/>
        <v>5383</v>
      </c>
      <c r="F17" s="101">
        <f>F43</f>
        <v>11507.651362325001</v>
      </c>
      <c r="G17" s="101">
        <f t="shared" ref="G17:O17" si="12">G43</f>
        <v>12999.0700827</v>
      </c>
      <c r="H17" s="101">
        <f t="shared" si="12"/>
        <v>14653.560790305</v>
      </c>
      <c r="I17" s="101">
        <f t="shared" si="12"/>
        <v>16280.219699188645</v>
      </c>
      <c r="J17" s="101">
        <f t="shared" si="12"/>
        <v>17725.604673139514</v>
      </c>
      <c r="K17" s="101">
        <f t="shared" si="12"/>
        <v>18990.237970377555</v>
      </c>
      <c r="L17" s="101">
        <f t="shared" si="12"/>
        <v>20199.89086854575</v>
      </c>
      <c r="M17" s="101">
        <f t="shared" si="12"/>
        <v>21287.434010509936</v>
      </c>
      <c r="N17" s="101">
        <f t="shared" si="12"/>
        <v>22266.349831400086</v>
      </c>
      <c r="O17" s="101">
        <f t="shared" si="12"/>
        <v>23112.994046643886</v>
      </c>
      <c r="Q17" s="66"/>
      <c r="R17" s="11"/>
      <c r="S17" s="12"/>
      <c r="T17" s="83"/>
    </row>
    <row r="18" spans="2:20" ht="15.75" customHeight="1" outlineLevel="1" x14ac:dyDescent="0.25">
      <c r="B18" s="80" t="s">
        <v>40</v>
      </c>
      <c r="C18" s="101">
        <f>C64</f>
        <v>967</v>
      </c>
      <c r="D18" s="101">
        <f t="shared" ref="D18:E18" si="13">D64</f>
        <v>3076</v>
      </c>
      <c r="E18" s="101">
        <f t="shared" si="13"/>
        <v>2186</v>
      </c>
      <c r="F18" s="101">
        <f t="shared" ref="F18:O18" si="14">F14*F44</f>
        <v>4689.026022</v>
      </c>
      <c r="G18" s="101">
        <f t="shared" si="14"/>
        <v>5017.1849442000002</v>
      </c>
      <c r="H18" s="101">
        <f t="shared" si="14"/>
        <v>5141.6002773</v>
      </c>
      <c r="I18" s="101">
        <f t="shared" si="14"/>
        <v>5712.357789188999</v>
      </c>
      <c r="J18" s="101">
        <f t="shared" si="14"/>
        <v>6219.5104116278999</v>
      </c>
      <c r="K18" s="101">
        <f t="shared" si="14"/>
        <v>6663.2413931149322</v>
      </c>
      <c r="L18" s="101">
        <f t="shared" si="14"/>
        <v>6378.9129058565532</v>
      </c>
      <c r="M18" s="101">
        <f t="shared" si="14"/>
        <v>6722.3475822662958</v>
      </c>
      <c r="N18" s="101">
        <f t="shared" si="14"/>
        <v>7031.4788941263432</v>
      </c>
      <c r="O18" s="101">
        <f t="shared" si="14"/>
        <v>7298.8402252559645</v>
      </c>
      <c r="Q18" s="67"/>
      <c r="R18" s="68" t="s">
        <v>44</v>
      </c>
      <c r="S18" s="69">
        <v>2</v>
      </c>
      <c r="T18" s="84"/>
    </row>
    <row r="19" spans="2:20" ht="18" customHeight="1" outlineLevel="1" x14ac:dyDescent="0.25">
      <c r="B19" s="80" t="s">
        <v>41</v>
      </c>
      <c r="C19" s="101">
        <f>-C62</f>
        <v>91</v>
      </c>
      <c r="D19" s="101">
        <f t="shared" ref="D19:E19" si="15">-D62</f>
        <v>187</v>
      </c>
      <c r="E19" s="101">
        <f t="shared" si="15"/>
        <v>182</v>
      </c>
      <c r="F19" s="101">
        <f>F183</f>
        <v>377</v>
      </c>
      <c r="G19" s="101">
        <f t="shared" ref="G19:O19" si="16">G183</f>
        <v>477</v>
      </c>
      <c r="H19" s="101">
        <f t="shared" si="16"/>
        <v>582</v>
      </c>
      <c r="I19" s="101">
        <f t="shared" si="16"/>
        <v>712</v>
      </c>
      <c r="J19" s="101">
        <f t="shared" si="16"/>
        <v>872</v>
      </c>
      <c r="K19" s="101">
        <f t="shared" si="16"/>
        <v>1072</v>
      </c>
      <c r="L19" s="101">
        <f t="shared" si="16"/>
        <v>1332</v>
      </c>
      <c r="M19" s="101">
        <f t="shared" si="16"/>
        <v>1652</v>
      </c>
      <c r="N19" s="101">
        <f t="shared" si="16"/>
        <v>2052</v>
      </c>
      <c r="O19" s="101">
        <f t="shared" si="16"/>
        <v>2552</v>
      </c>
      <c r="Q19" s="67"/>
      <c r="R19" s="68" t="s">
        <v>395</v>
      </c>
      <c r="S19" s="69">
        <v>2</v>
      </c>
      <c r="T19" s="84"/>
    </row>
    <row r="20" spans="2:20" ht="20.25" customHeight="1" outlineLevel="1" x14ac:dyDescent="0.35">
      <c r="B20" s="80" t="s">
        <v>42</v>
      </c>
      <c r="C20" s="102">
        <f>C72</f>
        <v>2171</v>
      </c>
      <c r="D20" s="102">
        <f t="shared" ref="D20:E20" si="17">D72</f>
        <v>5670</v>
      </c>
      <c r="E20" s="102">
        <f t="shared" si="17"/>
        <v>7568</v>
      </c>
      <c r="F20" s="102">
        <f t="shared" ref="F20:O20" si="18">F39*F14</f>
        <v>7815.0433700000012</v>
      </c>
      <c r="G20" s="102">
        <f t="shared" si="18"/>
        <v>8666.0467217999994</v>
      </c>
      <c r="H20" s="102">
        <f t="shared" si="18"/>
        <v>9254.8804991399993</v>
      </c>
      <c r="I20" s="102">
        <f t="shared" si="18"/>
        <v>10282.244020540198</v>
      </c>
      <c r="J20" s="102">
        <f t="shared" si="18"/>
        <v>11195.11874093022</v>
      </c>
      <c r="K20" s="102">
        <f t="shared" si="18"/>
        <v>11327.510368295385</v>
      </c>
      <c r="L20" s="102">
        <f t="shared" si="18"/>
        <v>12049.05771106238</v>
      </c>
      <c r="M20" s="102">
        <f t="shared" si="18"/>
        <v>11950.840146251194</v>
      </c>
      <c r="N20" s="102">
        <f t="shared" si="18"/>
        <v>12500.406922891278</v>
      </c>
      <c r="O20" s="102">
        <f t="shared" si="18"/>
        <v>12975.715956010605</v>
      </c>
      <c r="Q20" s="67"/>
      <c r="R20" s="68" t="s">
        <v>46</v>
      </c>
      <c r="S20" s="69">
        <v>2</v>
      </c>
      <c r="T20" s="84"/>
    </row>
    <row r="21" spans="2:20" ht="19" customHeight="1" outlineLevel="1" x14ac:dyDescent="0.25">
      <c r="B21" s="80" t="s">
        <v>43</v>
      </c>
      <c r="C21" s="101">
        <f t="shared" ref="C21:O21" si="19">C16-C17-C18-C19-C20</f>
        <v>20290</v>
      </c>
      <c r="D21" s="101">
        <f t="shared" si="19"/>
        <v>25260</v>
      </c>
      <c r="E21" s="101">
        <f t="shared" si="19"/>
        <v>34926</v>
      </c>
      <c r="F21" s="101">
        <f t="shared" si="19"/>
        <v>34261.67083567501</v>
      </c>
      <c r="G21" s="101">
        <f t="shared" si="19"/>
        <v>41071.628319299991</v>
      </c>
      <c r="H21" s="101">
        <f t="shared" si="19"/>
        <v>46988.762213055001</v>
      </c>
      <c r="I21" s="101">
        <f t="shared" si="19"/>
        <v>54514.924227961543</v>
      </c>
      <c r="J21" s="101">
        <f t="shared" si="19"/>
        <v>59099.006299525718</v>
      </c>
      <c r="K21" s="101">
        <f t="shared" si="19"/>
        <v>63708.978247764368</v>
      </c>
      <c r="L21" s="101">
        <f t="shared" si="19"/>
        <v>68178.070595218815</v>
      </c>
      <c r="M21" s="101">
        <f t="shared" si="19"/>
        <v>72236.317662762216</v>
      </c>
      <c r="N21" s="101">
        <f t="shared" si="19"/>
        <v>75157.426282230153</v>
      </c>
      <c r="O21" s="101">
        <f t="shared" si="19"/>
        <v>77553.550092729216</v>
      </c>
      <c r="Q21" s="67"/>
      <c r="R21" s="68" t="s">
        <v>48</v>
      </c>
      <c r="S21" s="69">
        <v>2</v>
      </c>
      <c r="T21" s="84"/>
    </row>
    <row r="22" spans="2:20" ht="19" customHeight="1" outlineLevel="1" x14ac:dyDescent="0.25">
      <c r="B22" s="80" t="s">
        <v>45</v>
      </c>
      <c r="C22" s="101">
        <f>C75</f>
        <v>3835</v>
      </c>
      <c r="D22" s="101">
        <f t="shared" ref="D22:E22" si="20">D75</f>
        <v>10010</v>
      </c>
      <c r="E22" s="101">
        <f t="shared" si="20"/>
        <v>8775</v>
      </c>
      <c r="F22" s="123">
        <f>-F193-F166-F165</f>
        <v>8512.5</v>
      </c>
      <c r="G22" s="123">
        <f t="shared" ref="G22:O22" si="21">-G193-G166-G165</f>
        <v>7724.6370960057502</v>
      </c>
      <c r="H22" s="123">
        <f t="shared" si="21"/>
        <v>7122.0914296777501</v>
      </c>
      <c r="I22" s="123">
        <f t="shared" si="21"/>
        <v>6760.5713489625496</v>
      </c>
      <c r="J22" s="123">
        <f t="shared" si="21"/>
        <v>6610.7642798603374</v>
      </c>
      <c r="K22" s="123">
        <f t="shared" si="21"/>
        <v>6591.4082004043312</v>
      </c>
      <c r="L22" s="123">
        <f t="shared" si="21"/>
        <v>5930.0566156184032</v>
      </c>
      <c r="M22" s="123">
        <f t="shared" si="21"/>
        <v>5876.3035535691633</v>
      </c>
      <c r="N22" s="123">
        <f t="shared" si="21"/>
        <v>6990.470052135166</v>
      </c>
      <c r="O22" s="123">
        <f t="shared" si="21"/>
        <v>7940.9497837205254</v>
      </c>
      <c r="Q22" s="67" t="s">
        <v>50</v>
      </c>
      <c r="R22" s="68" t="s">
        <v>51</v>
      </c>
      <c r="S22" s="69">
        <v>2</v>
      </c>
      <c r="T22" s="84"/>
    </row>
    <row r="23" spans="2:20" ht="19" customHeight="1" outlineLevel="1" x14ac:dyDescent="0.35">
      <c r="B23" s="80" t="s">
        <v>476</v>
      </c>
      <c r="C23" s="102">
        <f t="shared" ref="C23:O23" si="22">-C204</f>
        <v>0</v>
      </c>
      <c r="D23" s="102">
        <f t="shared" si="22"/>
        <v>0</v>
      </c>
      <c r="E23" s="102">
        <f t="shared" si="22"/>
        <v>0</v>
      </c>
      <c r="F23" s="102">
        <f t="shared" si="22"/>
        <v>0</v>
      </c>
      <c r="G23" s="102">
        <f t="shared" si="22"/>
        <v>0</v>
      </c>
      <c r="H23" s="102">
        <f t="shared" si="22"/>
        <v>0</v>
      </c>
      <c r="I23" s="102">
        <f t="shared" si="22"/>
        <v>0</v>
      </c>
      <c r="J23" s="102">
        <f t="shared" si="22"/>
        <v>0</v>
      </c>
      <c r="K23" s="102">
        <f t="shared" si="22"/>
        <v>0</v>
      </c>
      <c r="L23" s="102">
        <f t="shared" si="22"/>
        <v>0</v>
      </c>
      <c r="M23" s="102">
        <f t="shared" si="22"/>
        <v>0</v>
      </c>
      <c r="N23" s="102">
        <f t="shared" si="22"/>
        <v>0</v>
      </c>
      <c r="O23" s="102">
        <f t="shared" si="22"/>
        <v>0</v>
      </c>
      <c r="Q23" s="67" t="s">
        <v>54</v>
      </c>
      <c r="R23" s="13" t="s">
        <v>55</v>
      </c>
      <c r="S23" s="14">
        <v>2</v>
      </c>
      <c r="T23" s="85"/>
    </row>
    <row r="24" spans="2:20" ht="18" customHeight="1" outlineLevel="1" x14ac:dyDescent="0.2">
      <c r="B24" s="80" t="s">
        <v>47</v>
      </c>
      <c r="C24" s="101">
        <f t="shared" ref="C24:O24" si="23">C21-C22-C23</f>
        <v>16455</v>
      </c>
      <c r="D24" s="101">
        <f t="shared" si="23"/>
        <v>15250</v>
      </c>
      <c r="E24" s="101">
        <f t="shared" si="23"/>
        <v>26151</v>
      </c>
      <c r="F24" s="101">
        <f t="shared" si="23"/>
        <v>25749.17083567501</v>
      </c>
      <c r="G24" s="101">
        <f t="shared" si="23"/>
        <v>33346.991223294244</v>
      </c>
      <c r="H24" s="101">
        <f t="shared" si="23"/>
        <v>39866.670783377253</v>
      </c>
      <c r="I24" s="101">
        <f t="shared" si="23"/>
        <v>47754.352878998994</v>
      </c>
      <c r="J24" s="101">
        <f t="shared" si="23"/>
        <v>52488.242019665384</v>
      </c>
      <c r="K24" s="101">
        <f t="shared" si="23"/>
        <v>57117.570047360037</v>
      </c>
      <c r="L24" s="101">
        <f t="shared" si="23"/>
        <v>62248.013979600408</v>
      </c>
      <c r="M24" s="101">
        <f t="shared" si="23"/>
        <v>66360.014109193056</v>
      </c>
      <c r="N24" s="101">
        <f t="shared" si="23"/>
        <v>68166.956230094991</v>
      </c>
      <c r="O24" s="101">
        <f t="shared" si="23"/>
        <v>69612.600309008689</v>
      </c>
      <c r="Q24" s="15"/>
      <c r="R24" s="13" t="s">
        <v>57</v>
      </c>
      <c r="S24" s="14">
        <v>2</v>
      </c>
      <c r="T24" s="85"/>
    </row>
    <row r="25" spans="2:20" ht="19" customHeight="1" outlineLevel="1" x14ac:dyDescent="0.2">
      <c r="B25" s="80" t="s">
        <v>49</v>
      </c>
      <c r="C25" s="107">
        <v>-1622</v>
      </c>
      <c r="D25" s="107">
        <v>-3953</v>
      </c>
      <c r="E25" s="107">
        <v>-3210</v>
      </c>
      <c r="F25" s="101">
        <f t="shared" ref="F25:O25" si="24">-F248</f>
        <v>-3030.4</v>
      </c>
      <c r="G25" s="101">
        <f t="shared" si="24"/>
        <v>-2843.82</v>
      </c>
      <c r="H25" s="101">
        <f t="shared" si="24"/>
        <v>-2315.88</v>
      </c>
      <c r="I25" s="101">
        <f t="shared" si="24"/>
        <v>-2123.73</v>
      </c>
      <c r="J25" s="101">
        <f t="shared" si="24"/>
        <v>-1554.2549999999999</v>
      </c>
      <c r="K25" s="101">
        <f t="shared" si="24"/>
        <v>-1342.2149999999999</v>
      </c>
      <c r="L25" s="101">
        <f t="shared" si="24"/>
        <v>-1083.4649999999999</v>
      </c>
      <c r="M25" s="101">
        <f t="shared" si="24"/>
        <v>-900.08999999999992</v>
      </c>
      <c r="N25" s="101">
        <f t="shared" si="24"/>
        <v>-720.08999999999992</v>
      </c>
      <c r="O25" s="101">
        <f t="shared" si="24"/>
        <v>-494.82</v>
      </c>
      <c r="Q25" s="15"/>
      <c r="R25" s="13" t="s">
        <v>59</v>
      </c>
      <c r="S25" s="14">
        <v>2</v>
      </c>
      <c r="T25" s="86"/>
    </row>
    <row r="26" spans="2:20" ht="18" customHeight="1" outlineLevel="1" x14ac:dyDescent="0.2">
      <c r="B26" s="80" t="s">
        <v>52</v>
      </c>
      <c r="C26" s="101">
        <f>-C66</f>
        <v>535</v>
      </c>
      <c r="D26" s="101">
        <f t="shared" ref="D26:E26" si="25">-D66</f>
        <v>461</v>
      </c>
      <c r="E26" s="101">
        <f t="shared" si="25"/>
        <v>347</v>
      </c>
      <c r="F26" s="101">
        <f>F143</f>
        <v>93.814099999999996</v>
      </c>
      <c r="G26" s="101">
        <f t="shared" ref="G26:O26" si="26">G143</f>
        <v>555.84811423844735</v>
      </c>
      <c r="H26" s="101">
        <f t="shared" si="26"/>
        <v>782.01495934480613</v>
      </c>
      <c r="I26" s="101">
        <f t="shared" si="26"/>
        <v>1371.3809398050369</v>
      </c>
      <c r="J26" s="101">
        <f t="shared" si="26"/>
        <v>1774.9244965648754</v>
      </c>
      <c r="K26" s="101">
        <f t="shared" si="26"/>
        <v>2437.3930793096483</v>
      </c>
      <c r="L26" s="101">
        <f t="shared" si="26"/>
        <v>3109.8229294152579</v>
      </c>
      <c r="M26" s="101">
        <f t="shared" si="26"/>
        <v>3930.7112689135297</v>
      </c>
      <c r="N26" s="101">
        <f t="shared" si="26"/>
        <v>4749.0181428813712</v>
      </c>
      <c r="O26" s="101">
        <f t="shared" si="26"/>
        <v>5621.0350571143244</v>
      </c>
      <c r="Q26" s="15"/>
      <c r="R26" s="13" t="s">
        <v>61</v>
      </c>
      <c r="S26" s="14">
        <v>2</v>
      </c>
      <c r="T26" s="14"/>
    </row>
    <row r="27" spans="2:20" ht="18" customHeight="1" outlineLevel="1" x14ac:dyDescent="0.35">
      <c r="B27" s="80" t="s">
        <v>53</v>
      </c>
      <c r="C27" s="102">
        <f>C68</f>
        <v>-271</v>
      </c>
      <c r="D27" s="102">
        <f t="shared" ref="D27:E27" si="27">D68</f>
        <v>-1842</v>
      </c>
      <c r="E27" s="102">
        <f t="shared" si="27"/>
        <v>-559</v>
      </c>
      <c r="F27" s="102">
        <f t="shared" ref="F27:O27" si="28">F45*F14</f>
        <v>0</v>
      </c>
      <c r="G27" s="102">
        <f t="shared" si="28"/>
        <v>0</v>
      </c>
      <c r="H27" s="102">
        <f t="shared" si="28"/>
        <v>0</v>
      </c>
      <c r="I27" s="102">
        <f t="shared" si="28"/>
        <v>0</v>
      </c>
      <c r="J27" s="102">
        <f t="shared" si="28"/>
        <v>0</v>
      </c>
      <c r="K27" s="102">
        <f t="shared" si="28"/>
        <v>0</v>
      </c>
      <c r="L27" s="102">
        <f t="shared" si="28"/>
        <v>0</v>
      </c>
      <c r="M27" s="102">
        <f t="shared" si="28"/>
        <v>0</v>
      </c>
      <c r="N27" s="102">
        <f t="shared" si="28"/>
        <v>0</v>
      </c>
      <c r="O27" s="102">
        <f t="shared" si="28"/>
        <v>0</v>
      </c>
      <c r="Q27" s="15"/>
      <c r="R27" s="16" t="s">
        <v>63</v>
      </c>
      <c r="S27" s="14">
        <v>2</v>
      </c>
      <c r="T27" s="85"/>
    </row>
    <row r="28" spans="2:20" ht="18" customHeight="1" outlineLevel="1" x14ac:dyDescent="0.2">
      <c r="B28" s="80" t="s">
        <v>56</v>
      </c>
      <c r="C28" s="101">
        <f t="shared" ref="C28:O28" si="29">C24+C25+C26+C27</f>
        <v>15097</v>
      </c>
      <c r="D28" s="101">
        <f t="shared" si="29"/>
        <v>9916</v>
      </c>
      <c r="E28" s="101">
        <f t="shared" si="29"/>
        <v>22729</v>
      </c>
      <c r="F28" s="101">
        <f t="shared" si="29"/>
        <v>22812.584935675008</v>
      </c>
      <c r="G28" s="101">
        <f t="shared" si="29"/>
        <v>31059.019337532693</v>
      </c>
      <c r="H28" s="101">
        <f t="shared" si="29"/>
        <v>38332.805742722063</v>
      </c>
      <c r="I28" s="101">
        <f t="shared" si="29"/>
        <v>47002.003818804027</v>
      </c>
      <c r="J28" s="101">
        <f t="shared" si="29"/>
        <v>52708.911516230262</v>
      </c>
      <c r="K28" s="101">
        <f t="shared" si="29"/>
        <v>58212.748126669692</v>
      </c>
      <c r="L28" s="101">
        <f t="shared" si="29"/>
        <v>64274.371909015666</v>
      </c>
      <c r="M28" s="101">
        <f t="shared" si="29"/>
        <v>69390.635378106585</v>
      </c>
      <c r="N28" s="101">
        <f t="shared" si="29"/>
        <v>72195.884372976361</v>
      </c>
      <c r="O28" s="101">
        <f t="shared" si="29"/>
        <v>74738.815366123003</v>
      </c>
      <c r="Q28" s="15"/>
      <c r="R28" s="16" t="s">
        <v>65</v>
      </c>
      <c r="S28" s="14">
        <v>2</v>
      </c>
      <c r="T28" s="84"/>
    </row>
    <row r="29" spans="2:20" ht="18" customHeight="1" outlineLevel="1" thickBot="1" x14ac:dyDescent="0.4">
      <c r="B29" s="80" t="s">
        <v>58</v>
      </c>
      <c r="C29" s="108">
        <v>1015</v>
      </c>
      <c r="D29" s="108">
        <v>3748</v>
      </c>
      <c r="E29" s="108">
        <v>-397</v>
      </c>
      <c r="F29" s="102">
        <f t="shared" ref="F29:O29" si="30">F28*F47</f>
        <v>3764.0765143863764</v>
      </c>
      <c r="G29" s="102">
        <f t="shared" si="30"/>
        <v>5124.7381906928949</v>
      </c>
      <c r="H29" s="102">
        <f t="shared" si="30"/>
        <v>6324.9129475491409</v>
      </c>
      <c r="I29" s="102">
        <f t="shared" si="30"/>
        <v>7755.3306301026651</v>
      </c>
      <c r="J29" s="102">
        <f t="shared" si="30"/>
        <v>8696.9704001779937</v>
      </c>
      <c r="K29" s="102">
        <f t="shared" si="30"/>
        <v>9605.1034409005006</v>
      </c>
      <c r="L29" s="102">
        <f t="shared" si="30"/>
        <v>10605.271364987586</v>
      </c>
      <c r="M29" s="102">
        <f t="shared" si="30"/>
        <v>11449.454837387588</v>
      </c>
      <c r="N29" s="102">
        <f t="shared" si="30"/>
        <v>11912.320921541101</v>
      </c>
      <c r="O29" s="102">
        <f t="shared" si="30"/>
        <v>12331.904535410296</v>
      </c>
      <c r="Q29" s="15"/>
      <c r="R29" s="17" t="s">
        <v>66</v>
      </c>
      <c r="S29" s="14">
        <v>2</v>
      </c>
      <c r="T29" s="14"/>
    </row>
    <row r="30" spans="2:20" ht="19" customHeight="1" outlineLevel="1" thickBot="1" x14ac:dyDescent="0.25">
      <c r="B30" s="80" t="s">
        <v>60</v>
      </c>
      <c r="C30" s="101">
        <f t="shared" ref="C30:O30" si="31">C28-C29</f>
        <v>14082</v>
      </c>
      <c r="D30" s="101">
        <f t="shared" si="31"/>
        <v>6168</v>
      </c>
      <c r="E30" s="101">
        <f t="shared" si="31"/>
        <v>23126</v>
      </c>
      <c r="F30" s="101">
        <f>F28-F29</f>
        <v>19048.508421288632</v>
      </c>
      <c r="G30" s="101">
        <f t="shared" si="31"/>
        <v>25934.281146839799</v>
      </c>
      <c r="H30" s="101">
        <f t="shared" si="31"/>
        <v>32007.89279517292</v>
      </c>
      <c r="I30" s="101">
        <f t="shared" si="31"/>
        <v>39246.673188701359</v>
      </c>
      <c r="J30" s="101">
        <f t="shared" si="31"/>
        <v>44011.941116052272</v>
      </c>
      <c r="K30" s="101">
        <f t="shared" si="31"/>
        <v>48607.644685769192</v>
      </c>
      <c r="L30" s="101">
        <f t="shared" si="31"/>
        <v>53669.100544028079</v>
      </c>
      <c r="M30" s="101">
        <f t="shared" si="31"/>
        <v>57941.180540718997</v>
      </c>
      <c r="N30" s="101">
        <f t="shared" si="31"/>
        <v>60283.563451435257</v>
      </c>
      <c r="O30" s="101">
        <f t="shared" si="31"/>
        <v>62406.910830712703</v>
      </c>
      <c r="Q30" s="8"/>
      <c r="R30" s="9"/>
      <c r="S30" s="10"/>
      <c r="T30" s="87"/>
    </row>
    <row r="31" spans="2:20" ht="18" customHeight="1" outlineLevel="1" x14ac:dyDescent="0.35">
      <c r="B31" s="80" t="s">
        <v>62</v>
      </c>
      <c r="C31" s="102">
        <f>-C71</f>
        <v>0</v>
      </c>
      <c r="D31" s="102">
        <f t="shared" ref="D31:E31" si="32">-D71</f>
        <v>-273</v>
      </c>
      <c r="E31" s="102">
        <f t="shared" si="32"/>
        <v>0</v>
      </c>
      <c r="F31" s="102">
        <f t="shared" ref="F31:O31" si="33">F14*F46</f>
        <v>0</v>
      </c>
      <c r="G31" s="102">
        <f t="shared" si="33"/>
        <v>0</v>
      </c>
      <c r="H31" s="102">
        <f t="shared" si="33"/>
        <v>0</v>
      </c>
      <c r="I31" s="102">
        <f t="shared" si="33"/>
        <v>0</v>
      </c>
      <c r="J31" s="102">
        <f t="shared" si="33"/>
        <v>0</v>
      </c>
      <c r="K31" s="102">
        <f t="shared" si="33"/>
        <v>0</v>
      </c>
      <c r="L31" s="102">
        <f t="shared" si="33"/>
        <v>0</v>
      </c>
      <c r="M31" s="102">
        <f t="shared" si="33"/>
        <v>0</v>
      </c>
      <c r="N31" s="102">
        <f t="shared" si="33"/>
        <v>0</v>
      </c>
      <c r="O31" s="102">
        <f t="shared" si="33"/>
        <v>0</v>
      </c>
      <c r="Q31" s="18" t="s">
        <v>69</v>
      </c>
      <c r="R31" s="19" t="s">
        <v>70</v>
      </c>
      <c r="S31" s="20">
        <v>1</v>
      </c>
      <c r="T31" s="88"/>
    </row>
    <row r="32" spans="2:20" ht="18" customHeight="1" outlineLevel="1" x14ac:dyDescent="0.25">
      <c r="B32" s="80" t="s">
        <v>64</v>
      </c>
      <c r="C32" s="101">
        <f t="shared" ref="C32:O32" si="34">C30+C31</f>
        <v>14082</v>
      </c>
      <c r="D32" s="101">
        <f t="shared" si="34"/>
        <v>5895</v>
      </c>
      <c r="E32" s="101">
        <f t="shared" si="34"/>
        <v>23126</v>
      </c>
      <c r="F32" s="101">
        <f t="shared" si="34"/>
        <v>19048.508421288632</v>
      </c>
      <c r="G32" s="101">
        <f t="shared" si="34"/>
        <v>25934.281146839799</v>
      </c>
      <c r="H32" s="101">
        <f t="shared" si="34"/>
        <v>32007.89279517292</v>
      </c>
      <c r="I32" s="101">
        <f t="shared" si="34"/>
        <v>39246.673188701359</v>
      </c>
      <c r="J32" s="101">
        <f t="shared" si="34"/>
        <v>44011.941116052272</v>
      </c>
      <c r="K32" s="101">
        <f t="shared" si="34"/>
        <v>48607.644685769192</v>
      </c>
      <c r="L32" s="101">
        <f t="shared" si="34"/>
        <v>53669.100544028079</v>
      </c>
      <c r="M32" s="101">
        <f t="shared" si="34"/>
        <v>57941.180540718997</v>
      </c>
      <c r="N32" s="101">
        <f t="shared" si="34"/>
        <v>60283.563451435257</v>
      </c>
      <c r="O32" s="101">
        <f t="shared" si="34"/>
        <v>62406.910830712703</v>
      </c>
      <c r="Q32" s="21" t="s">
        <v>72</v>
      </c>
      <c r="R32" s="22" t="s">
        <v>73</v>
      </c>
      <c r="S32" s="23">
        <v>2</v>
      </c>
      <c r="T32" s="23"/>
    </row>
    <row r="33" spans="1:20" ht="18" customHeight="1" outlineLevel="1" x14ac:dyDescent="0.25">
      <c r="B33" s="80"/>
      <c r="C33" s="101"/>
      <c r="D33" s="101"/>
      <c r="E33" s="101"/>
      <c r="Q33" s="21"/>
      <c r="R33" s="22" t="s">
        <v>75</v>
      </c>
      <c r="S33" s="23">
        <v>1</v>
      </c>
      <c r="T33" s="88"/>
    </row>
    <row r="34" spans="1:20" ht="18" customHeight="1" x14ac:dyDescent="0.2">
      <c r="B34" s="5" t="s">
        <v>67</v>
      </c>
      <c r="C34" s="99" t="str">
        <f>C$5</f>
        <v>2023A</v>
      </c>
      <c r="D34" s="99" t="str">
        <f t="shared" ref="D34:O34" si="35">D$5</f>
        <v>2024A</v>
      </c>
      <c r="E34" s="99" t="str">
        <f t="shared" si="35"/>
        <v>2025A</v>
      </c>
      <c r="F34" s="99" t="str">
        <f t="shared" si="35"/>
        <v>2026P</v>
      </c>
      <c r="G34" s="99" t="str">
        <f t="shared" si="35"/>
        <v>2027P</v>
      </c>
      <c r="H34" s="99" t="str">
        <f t="shared" si="35"/>
        <v>2028P</v>
      </c>
      <c r="I34" s="99" t="str">
        <f t="shared" si="35"/>
        <v xml:space="preserve">2029P </v>
      </c>
      <c r="J34" s="99" t="str">
        <f t="shared" si="35"/>
        <v>2030P</v>
      </c>
      <c r="K34" s="99" t="str">
        <f t="shared" si="35"/>
        <v>2031P</v>
      </c>
      <c r="L34" s="99" t="str">
        <f t="shared" si="35"/>
        <v>2032P</v>
      </c>
      <c r="M34" s="99" t="str">
        <f t="shared" si="35"/>
        <v xml:space="preserve">2033P </v>
      </c>
      <c r="N34" s="99" t="str">
        <f t="shared" si="35"/>
        <v>2034P</v>
      </c>
      <c r="O34" s="99" t="str">
        <f t="shared" si="35"/>
        <v>2035P</v>
      </c>
      <c r="Q34" s="24"/>
      <c r="R34" s="22" t="s">
        <v>77</v>
      </c>
      <c r="S34" s="23">
        <v>1</v>
      </c>
      <c r="T34" s="88"/>
    </row>
    <row r="35" spans="1:20" ht="20.25" customHeight="1" outlineLevel="1" thickBot="1" x14ac:dyDescent="0.25">
      <c r="A35" s="121"/>
      <c r="B35" s="80" t="s">
        <v>68</v>
      </c>
      <c r="C35" s="103"/>
      <c r="D35" s="103">
        <f>(D6-C6)/C6</f>
        <v>0.20764102386956371</v>
      </c>
      <c r="E35" s="103">
        <f>(E6-D6)/D6</f>
        <v>0.28280892448512585</v>
      </c>
      <c r="F35" s="310">
        <v>0.2671</v>
      </c>
      <c r="G35" s="310">
        <v>0.2</v>
      </c>
      <c r="H35" s="310">
        <v>0.15</v>
      </c>
      <c r="I35" s="308">
        <v>0.13</v>
      </c>
      <c r="J35" s="308">
        <v>0.1</v>
      </c>
      <c r="K35" s="308">
        <v>0.08</v>
      </c>
      <c r="L35" s="308">
        <v>7.0000000000000007E-2</v>
      </c>
      <c r="M35" s="308">
        <v>0.06</v>
      </c>
      <c r="N35" s="308">
        <v>0.05</v>
      </c>
      <c r="O35" s="308">
        <v>0.04</v>
      </c>
      <c r="Q35" s="25"/>
      <c r="R35" s="26" t="s">
        <v>79</v>
      </c>
      <c r="S35" s="27">
        <v>1</v>
      </c>
      <c r="T35" s="23"/>
    </row>
    <row r="36" spans="1:20" ht="17" outlineLevel="1" thickBot="1" x14ac:dyDescent="0.25">
      <c r="B36" s="80" t="s">
        <v>71</v>
      </c>
      <c r="C36" s="263"/>
      <c r="D36" s="103">
        <f>(D10-C10)/C10</f>
        <v>1.4183406113537118</v>
      </c>
      <c r="E36" s="103">
        <f>(E10-D10)/D10</f>
        <v>0.14602142771156856</v>
      </c>
      <c r="F36" s="308">
        <v>0.12</v>
      </c>
      <c r="G36" s="308">
        <v>0.08</v>
      </c>
      <c r="H36" s="308">
        <v>0.06</v>
      </c>
      <c r="I36" s="308">
        <v>0.05</v>
      </c>
      <c r="J36" s="308">
        <v>0.05</v>
      </c>
      <c r="K36" s="308">
        <v>0.04</v>
      </c>
      <c r="L36" s="308">
        <v>0.04</v>
      </c>
      <c r="M36" s="308">
        <v>0.03</v>
      </c>
      <c r="N36" s="308">
        <v>0.03</v>
      </c>
      <c r="O36" s="308">
        <v>0.03</v>
      </c>
      <c r="Q36" s="8"/>
      <c r="R36" s="9"/>
      <c r="S36" s="10"/>
      <c r="T36" s="10"/>
    </row>
    <row r="37" spans="1:20" ht="19" outlineLevel="1" x14ac:dyDescent="0.2">
      <c r="B37" t="s">
        <v>74</v>
      </c>
      <c r="C37" s="103">
        <f>C8/C6</f>
        <v>0.70454937994403954</v>
      </c>
      <c r="D37" s="103">
        <f>D8/D6</f>
        <v>0.72294050343249427</v>
      </c>
      <c r="E37" s="103">
        <f>E8/E6</f>
        <v>0.7347202711441122</v>
      </c>
      <c r="F37" s="312">
        <v>0.7</v>
      </c>
      <c r="G37" s="312">
        <v>0.7</v>
      </c>
      <c r="H37" s="312">
        <v>0.7</v>
      </c>
      <c r="I37" s="105">
        <v>0.73</v>
      </c>
      <c r="J37" s="105">
        <v>0.73</v>
      </c>
      <c r="K37" s="105">
        <v>0.73</v>
      </c>
      <c r="L37" s="105">
        <v>0.73</v>
      </c>
      <c r="M37" s="105">
        <v>0.73</v>
      </c>
      <c r="N37" s="105">
        <v>0.73</v>
      </c>
      <c r="O37" s="105">
        <v>0.73</v>
      </c>
      <c r="Q37" s="76"/>
      <c r="R37" s="28" t="s">
        <v>85</v>
      </c>
      <c r="S37" s="29">
        <v>2</v>
      </c>
      <c r="T37" s="89"/>
    </row>
    <row r="38" spans="1:20" ht="19" outlineLevel="1" x14ac:dyDescent="0.25">
      <c r="B38" t="s">
        <v>76</v>
      </c>
      <c r="C38" s="103">
        <f>C12/C10</f>
        <v>0.92590975254730712</v>
      </c>
      <c r="D38" s="103">
        <f>D12/D10</f>
        <v>0.85325628987600821</v>
      </c>
      <c r="E38" s="103">
        <f>E12/E10</f>
        <v>0.90835084033613445</v>
      </c>
      <c r="F38" s="308">
        <v>0.88500000000000001</v>
      </c>
      <c r="G38" s="308">
        <v>0.89</v>
      </c>
      <c r="H38" s="308">
        <v>0.89</v>
      </c>
      <c r="I38" s="308">
        <v>0.89</v>
      </c>
      <c r="J38" s="308">
        <v>0.89</v>
      </c>
      <c r="K38" s="308">
        <v>0.89</v>
      </c>
      <c r="L38" s="308">
        <v>0.89</v>
      </c>
      <c r="M38" s="308">
        <v>0.89</v>
      </c>
      <c r="N38" s="308">
        <v>0.89</v>
      </c>
      <c r="O38" s="308">
        <v>0.89</v>
      </c>
      <c r="Q38" s="79"/>
      <c r="R38" s="30" t="s">
        <v>88</v>
      </c>
      <c r="S38" s="31">
        <v>2</v>
      </c>
      <c r="T38" s="89"/>
    </row>
    <row r="39" spans="1:20" ht="19" outlineLevel="1" x14ac:dyDescent="0.25">
      <c r="B39" t="s">
        <v>78</v>
      </c>
      <c r="C39" s="103">
        <f>C20/C14</f>
        <v>6.0610290627879058E-2</v>
      </c>
      <c r="D39" s="103">
        <f>D20/D14</f>
        <v>0.10993911660914414</v>
      </c>
      <c r="E39" s="103">
        <f>E20/E14</f>
        <v>0.11845915444456619</v>
      </c>
      <c r="F39" s="308">
        <v>0.1</v>
      </c>
      <c r="G39" s="308">
        <v>9.5000000000000001E-2</v>
      </c>
      <c r="H39" s="308">
        <v>0.09</v>
      </c>
      <c r="I39" s="308">
        <v>0.09</v>
      </c>
      <c r="J39" s="308">
        <v>0.09</v>
      </c>
      <c r="K39" s="308">
        <v>8.5000000000000006E-2</v>
      </c>
      <c r="L39" s="308">
        <v>8.5000000000000006E-2</v>
      </c>
      <c r="M39" s="308">
        <v>0.08</v>
      </c>
      <c r="N39" s="308">
        <v>0.08</v>
      </c>
      <c r="O39" s="308">
        <v>0.08</v>
      </c>
      <c r="Q39" s="79"/>
      <c r="R39" s="30" t="s">
        <v>90</v>
      </c>
      <c r="S39" s="31">
        <v>2</v>
      </c>
      <c r="T39" s="89"/>
    </row>
    <row r="40" spans="1:20" ht="20" outlineLevel="1" x14ac:dyDescent="0.25">
      <c r="B40" t="s">
        <v>80</v>
      </c>
      <c r="C40" s="103">
        <f>C17/C14</f>
        <v>9.0398950277785536E-2</v>
      </c>
      <c r="D40" s="103">
        <f>D17/D14</f>
        <v>0.10193120564625587</v>
      </c>
      <c r="E40" s="103">
        <f>E17/E14</f>
        <v>8.4258143284236225E-2</v>
      </c>
      <c r="F40" s="308">
        <v>0.155</v>
      </c>
      <c r="G40" s="308">
        <v>0.15</v>
      </c>
      <c r="H40" s="310">
        <v>0.15</v>
      </c>
      <c r="I40" s="310">
        <v>0.15</v>
      </c>
      <c r="J40" s="310">
        <v>0.15</v>
      </c>
      <c r="K40" s="310">
        <v>0.15</v>
      </c>
      <c r="L40" s="310">
        <v>0.15</v>
      </c>
      <c r="M40" s="310">
        <v>0.15</v>
      </c>
      <c r="N40" s="310">
        <v>0.15</v>
      </c>
      <c r="O40" s="310">
        <v>0.15</v>
      </c>
      <c r="Q40" s="79" t="s">
        <v>91</v>
      </c>
      <c r="R40" s="32" t="s">
        <v>92</v>
      </c>
      <c r="S40" s="33">
        <v>1</v>
      </c>
      <c r="T40" s="33"/>
    </row>
    <row r="41" spans="1:20" outlineLevel="1" x14ac:dyDescent="0.2">
      <c r="B41" t="s">
        <v>81</v>
      </c>
      <c r="C41" s="101"/>
      <c r="D41" s="101"/>
      <c r="E41" s="101"/>
      <c r="F41" s="101">
        <f t="shared" ref="F41:O41" si="36">F40*F14</f>
        <v>12113.317223500002</v>
      </c>
      <c r="G41" s="101">
        <f t="shared" si="36"/>
        <v>13683.231666</v>
      </c>
      <c r="H41" s="101">
        <f t="shared" si="36"/>
        <v>15424.8008319</v>
      </c>
      <c r="I41" s="101">
        <f t="shared" si="36"/>
        <v>17137.073367566994</v>
      </c>
      <c r="J41" s="101">
        <f t="shared" si="36"/>
        <v>18658.5312348837</v>
      </c>
      <c r="K41" s="101">
        <f t="shared" si="36"/>
        <v>19989.724179344794</v>
      </c>
      <c r="L41" s="101">
        <f t="shared" si="36"/>
        <v>21263.043019521843</v>
      </c>
      <c r="M41" s="101">
        <f t="shared" si="36"/>
        <v>22407.825274220984</v>
      </c>
      <c r="N41" s="101">
        <f t="shared" si="36"/>
        <v>23438.262980421143</v>
      </c>
      <c r="O41" s="101">
        <f t="shared" si="36"/>
        <v>24329.467417519882</v>
      </c>
      <c r="Q41" s="34"/>
      <c r="R41" s="32" t="s">
        <v>94</v>
      </c>
      <c r="S41" s="33">
        <v>1</v>
      </c>
      <c r="T41" s="90"/>
    </row>
    <row r="42" spans="1:20" ht="19" outlineLevel="1" x14ac:dyDescent="0.35">
      <c r="B42" t="s">
        <v>82</v>
      </c>
      <c r="C42" s="101"/>
      <c r="D42" s="101"/>
      <c r="E42" s="101"/>
      <c r="F42" s="102">
        <f t="shared" ref="F42:O42" si="37">F168*F41</f>
        <v>605.66586117500015</v>
      </c>
      <c r="G42" s="102">
        <f>G168*G41</f>
        <v>684.16158330000007</v>
      </c>
      <c r="H42" s="102">
        <f t="shared" si="37"/>
        <v>771.24004159500009</v>
      </c>
      <c r="I42" s="102">
        <f t="shared" si="37"/>
        <v>856.85366837834977</v>
      </c>
      <c r="J42" s="102">
        <f t="shared" si="37"/>
        <v>932.92656174418505</v>
      </c>
      <c r="K42" s="102">
        <f t="shared" si="37"/>
        <v>999.48620896723969</v>
      </c>
      <c r="L42" s="102">
        <f t="shared" si="37"/>
        <v>1063.1521509760921</v>
      </c>
      <c r="M42" s="102">
        <f t="shared" si="37"/>
        <v>1120.3912637110493</v>
      </c>
      <c r="N42" s="102">
        <f t="shared" si="37"/>
        <v>1171.9131490210573</v>
      </c>
      <c r="O42" s="102">
        <f t="shared" si="37"/>
        <v>1216.4733708759941</v>
      </c>
      <c r="Q42" s="34"/>
      <c r="R42" s="32" t="s">
        <v>96</v>
      </c>
      <c r="S42" s="33">
        <v>1</v>
      </c>
      <c r="T42" s="91"/>
    </row>
    <row r="43" spans="1:20" ht="17" outlineLevel="1" thickBot="1" x14ac:dyDescent="0.25">
      <c r="B43" t="s">
        <v>83</v>
      </c>
      <c r="C43" s="101"/>
      <c r="D43" s="101"/>
      <c r="E43" s="101"/>
      <c r="F43" s="101">
        <f>F41-F42</f>
        <v>11507.651362325001</v>
      </c>
      <c r="G43" s="101">
        <f t="shared" ref="G43:O43" si="38">G41-G42</f>
        <v>12999.0700827</v>
      </c>
      <c r="H43" s="101">
        <f t="shared" si="38"/>
        <v>14653.560790305</v>
      </c>
      <c r="I43" s="101">
        <f t="shared" si="38"/>
        <v>16280.219699188645</v>
      </c>
      <c r="J43" s="101">
        <f t="shared" si="38"/>
        <v>17725.604673139514</v>
      </c>
      <c r="K43" s="101">
        <f t="shared" si="38"/>
        <v>18990.237970377555</v>
      </c>
      <c r="L43" s="101">
        <f t="shared" si="38"/>
        <v>20199.89086854575</v>
      </c>
      <c r="M43" s="101">
        <f t="shared" si="38"/>
        <v>21287.434010509936</v>
      </c>
      <c r="N43" s="101">
        <f t="shared" si="38"/>
        <v>22266.349831400086</v>
      </c>
      <c r="O43" s="101">
        <f t="shared" si="38"/>
        <v>23112.994046643886</v>
      </c>
      <c r="Q43" s="35"/>
      <c r="R43" s="36" t="s">
        <v>98</v>
      </c>
      <c r="S43" s="37">
        <v>1</v>
      </c>
      <c r="T43" s="90"/>
    </row>
    <row r="44" spans="1:20" ht="17" outlineLevel="1" thickBot="1" x14ac:dyDescent="0.25">
      <c r="B44" t="s">
        <v>84</v>
      </c>
      <c r="C44" s="103">
        <f>C18/C6</f>
        <v>3.3403571798680441E-2</v>
      </c>
      <c r="D44" s="103">
        <f>D18/D6</f>
        <v>8.7986270022883298E-2</v>
      </c>
      <c r="E44" s="103">
        <f>E18/E6</f>
        <v>4.8743505697148082E-2</v>
      </c>
      <c r="F44" s="295">
        <v>0.06</v>
      </c>
      <c r="G44" s="295">
        <v>5.5E-2</v>
      </c>
      <c r="H44" s="295">
        <v>0.05</v>
      </c>
      <c r="I44" s="295">
        <v>0.05</v>
      </c>
      <c r="J44" s="295">
        <v>0.05</v>
      </c>
      <c r="K44" s="295">
        <v>0.05</v>
      </c>
      <c r="L44" s="295">
        <v>4.4999999999999998E-2</v>
      </c>
      <c r="M44" s="295">
        <v>4.4999999999999998E-2</v>
      </c>
      <c r="N44" s="295">
        <v>4.4999999999999998E-2</v>
      </c>
      <c r="O44" s="295">
        <v>4.4999999999999998E-2</v>
      </c>
      <c r="Q44" s="8"/>
      <c r="R44" s="9"/>
      <c r="S44" s="10"/>
      <c r="T44" s="10"/>
    </row>
    <row r="45" spans="1:20" ht="19" outlineLevel="1" x14ac:dyDescent="0.25">
      <c r="B45" t="s">
        <v>86</v>
      </c>
      <c r="C45" s="103">
        <f>C27/C14</f>
        <v>-7.5658170244842123E-3</v>
      </c>
      <c r="D45" s="103">
        <f>D27/D14</f>
        <v>-3.5715670686780158E-2</v>
      </c>
      <c r="E45" s="103">
        <f>E27/E14</f>
        <v>-8.7498239078372744E-3</v>
      </c>
      <c r="F45" s="105">
        <v>0</v>
      </c>
      <c r="G45" s="105">
        <v>0</v>
      </c>
      <c r="H45" s="105">
        <v>0</v>
      </c>
      <c r="I45" s="105">
        <v>0</v>
      </c>
      <c r="J45" s="105">
        <v>0</v>
      </c>
      <c r="K45" s="105">
        <v>0</v>
      </c>
      <c r="L45" s="105">
        <v>0</v>
      </c>
      <c r="M45" s="105">
        <v>0</v>
      </c>
      <c r="N45" s="105">
        <v>0</v>
      </c>
      <c r="O45" s="105">
        <v>0</v>
      </c>
      <c r="Q45" s="78"/>
      <c r="R45" s="70" t="s">
        <v>396</v>
      </c>
      <c r="S45" s="33">
        <v>2</v>
      </c>
      <c r="T45" s="92"/>
    </row>
    <row r="46" spans="1:20" ht="19" outlineLevel="1" x14ac:dyDescent="0.25">
      <c r="B46" s="80" t="s">
        <v>87</v>
      </c>
      <c r="C46" s="103">
        <f>C31/C14</f>
        <v>0</v>
      </c>
      <c r="D46" s="103">
        <f>D31/D14</f>
        <v>-5.2933648737736065E-3</v>
      </c>
      <c r="E46" s="103">
        <f>E31/E14</f>
        <v>0</v>
      </c>
      <c r="F46" s="105">
        <v>0</v>
      </c>
      <c r="G46" s="105">
        <v>0</v>
      </c>
      <c r="H46" s="105">
        <v>0</v>
      </c>
      <c r="I46" s="105">
        <v>0</v>
      </c>
      <c r="J46" s="105">
        <v>0</v>
      </c>
      <c r="K46" s="105">
        <v>0</v>
      </c>
      <c r="L46" s="105">
        <v>0</v>
      </c>
      <c r="M46" s="105">
        <v>0</v>
      </c>
      <c r="N46" s="105">
        <v>0</v>
      </c>
      <c r="O46" s="105">
        <v>0</v>
      </c>
      <c r="Q46" s="79"/>
      <c r="R46" s="70" t="s">
        <v>101</v>
      </c>
      <c r="S46" s="33">
        <v>2</v>
      </c>
      <c r="T46" s="92"/>
    </row>
    <row r="47" spans="1:20" ht="19" customHeight="1" outlineLevel="1" thickBot="1" x14ac:dyDescent="0.3">
      <c r="B47" t="s">
        <v>89</v>
      </c>
      <c r="C47" s="103">
        <f>C29/C28</f>
        <v>6.7231900377558454E-2</v>
      </c>
      <c r="D47" s="103">
        <f>D29/D28</f>
        <v>0.37797498991528844</v>
      </c>
      <c r="E47" s="103">
        <f>E29/E28</f>
        <v>-1.7466672532887501E-2</v>
      </c>
      <c r="F47" s="308">
        <v>0.16500000000000001</v>
      </c>
      <c r="G47" s="308">
        <v>0.16500000000000001</v>
      </c>
      <c r="H47" s="308">
        <v>0.16500000000000001</v>
      </c>
      <c r="I47" s="308">
        <v>0.16500000000000001</v>
      </c>
      <c r="J47" s="308">
        <v>0.16500000000000001</v>
      </c>
      <c r="K47" s="308">
        <v>0.16500000000000001</v>
      </c>
      <c r="L47" s="308">
        <v>0.16500000000000001</v>
      </c>
      <c r="M47" s="308">
        <v>0.16500000000000001</v>
      </c>
      <c r="N47" s="308">
        <v>0.16500000000000001</v>
      </c>
      <c r="O47" s="308">
        <v>0.16500000000000001</v>
      </c>
      <c r="Q47" s="79" t="s">
        <v>102</v>
      </c>
      <c r="R47" s="36" t="s">
        <v>103</v>
      </c>
      <c r="S47" s="33">
        <v>2</v>
      </c>
      <c r="T47" s="90"/>
    </row>
    <row r="48" spans="1:20" ht="19" outlineLevel="1" x14ac:dyDescent="0.25">
      <c r="C48" s="103"/>
      <c r="D48" s="103"/>
      <c r="E48" s="103"/>
      <c r="F48" s="105"/>
      <c r="G48" s="105"/>
      <c r="H48" s="105"/>
      <c r="I48" s="105"/>
      <c r="J48" s="105"/>
      <c r="K48" s="105"/>
      <c r="L48" s="105"/>
      <c r="M48" s="105"/>
      <c r="N48" s="105"/>
      <c r="O48" s="105"/>
      <c r="Q48" s="79"/>
      <c r="R48" s="70" t="s">
        <v>105</v>
      </c>
      <c r="S48" s="33">
        <v>2</v>
      </c>
      <c r="T48" s="90"/>
    </row>
    <row r="49" spans="2:20" ht="20" thickBot="1" x14ac:dyDescent="0.3">
      <c r="B49" s="5" t="s">
        <v>93</v>
      </c>
      <c r="C49" s="307" t="str">
        <f t="shared" ref="C49:O49" si="39">C34</f>
        <v>2023A</v>
      </c>
      <c r="D49" s="307" t="str">
        <f t="shared" si="39"/>
        <v>2024A</v>
      </c>
      <c r="E49" s="307" t="str">
        <f t="shared" si="39"/>
        <v>2025A</v>
      </c>
      <c r="F49" s="307" t="str">
        <f t="shared" si="39"/>
        <v>2026P</v>
      </c>
      <c r="G49" s="307" t="str">
        <f t="shared" si="39"/>
        <v>2027P</v>
      </c>
      <c r="H49" s="307" t="str">
        <f t="shared" si="39"/>
        <v>2028P</v>
      </c>
      <c r="I49" s="307" t="str">
        <f t="shared" si="39"/>
        <v xml:space="preserve">2029P </v>
      </c>
      <c r="J49" s="307" t="str">
        <f t="shared" si="39"/>
        <v>2030P</v>
      </c>
      <c r="K49" s="307" t="str">
        <f t="shared" si="39"/>
        <v>2031P</v>
      </c>
      <c r="L49" s="307" t="str">
        <f t="shared" si="39"/>
        <v>2032P</v>
      </c>
      <c r="M49" s="307" t="str">
        <f t="shared" si="39"/>
        <v xml:space="preserve">2033P </v>
      </c>
      <c r="N49" s="307" t="str">
        <f t="shared" si="39"/>
        <v>2034P</v>
      </c>
      <c r="O49" s="307" t="str">
        <f t="shared" si="39"/>
        <v>2035P</v>
      </c>
      <c r="Q49" s="280"/>
      <c r="R49" s="70" t="s">
        <v>397</v>
      </c>
      <c r="S49" s="38">
        <v>2</v>
      </c>
      <c r="T49" s="93"/>
    </row>
    <row r="50" spans="2:20" ht="18" customHeight="1" outlineLevel="1" x14ac:dyDescent="0.25">
      <c r="B50" t="s">
        <v>95</v>
      </c>
      <c r="C50" s="107">
        <v>8641</v>
      </c>
      <c r="D50" s="107">
        <v>9805</v>
      </c>
      <c r="E50" s="107">
        <v>12115</v>
      </c>
      <c r="F50" s="101"/>
      <c r="G50" s="101"/>
      <c r="H50" s="101"/>
      <c r="I50" s="101"/>
      <c r="J50" s="101"/>
      <c r="K50" s="101"/>
      <c r="L50" s="101"/>
      <c r="M50" s="101"/>
      <c r="N50" s="101"/>
      <c r="O50" s="101"/>
      <c r="Q50" s="39" t="s">
        <v>130</v>
      </c>
      <c r="R50" s="40" t="s">
        <v>131</v>
      </c>
      <c r="S50" s="41">
        <f>SUM(S17:S49)</f>
        <v>50</v>
      </c>
      <c r="T50" s="41"/>
    </row>
    <row r="51" spans="2:20" ht="18" customHeight="1" outlineLevel="1" x14ac:dyDescent="0.35">
      <c r="B51" t="s">
        <v>97</v>
      </c>
      <c r="C51" s="108">
        <v>-88</v>
      </c>
      <c r="D51" s="108">
        <v>-119</v>
      </c>
      <c r="E51" s="108">
        <v>-218</v>
      </c>
      <c r="F51" s="101"/>
      <c r="G51" s="101"/>
      <c r="H51" s="101"/>
      <c r="I51" s="101"/>
      <c r="J51" s="101"/>
      <c r="K51" s="101"/>
      <c r="L51" s="101"/>
      <c r="M51" s="101"/>
      <c r="N51" s="101"/>
      <c r="O51" s="101"/>
      <c r="Q51" s="94"/>
      <c r="R51" s="9"/>
      <c r="S51" s="10"/>
      <c r="T51" s="10"/>
    </row>
    <row r="52" spans="2:20" ht="22" outlineLevel="1" thickBot="1" x14ac:dyDescent="0.4">
      <c r="B52" t="s">
        <v>99</v>
      </c>
      <c r="C52" s="132">
        <f>SUM(C50:C51)</f>
        <v>8553</v>
      </c>
      <c r="D52" s="132">
        <f t="shared" ref="D52:E52" si="40">SUM(D50:D51)</f>
        <v>9686</v>
      </c>
      <c r="E52" s="132">
        <f t="shared" si="40"/>
        <v>11897</v>
      </c>
      <c r="F52" s="101"/>
      <c r="G52" s="101"/>
      <c r="H52" s="101"/>
      <c r="I52" s="101"/>
      <c r="J52" s="101"/>
      <c r="K52" s="101"/>
      <c r="L52" s="101"/>
      <c r="M52" s="101"/>
      <c r="N52" s="101"/>
      <c r="O52" s="101"/>
      <c r="Q52" s="94"/>
      <c r="R52" s="9"/>
      <c r="S52" s="10"/>
      <c r="T52" s="10"/>
    </row>
    <row r="53" spans="2:20" ht="19" customHeight="1" outlineLevel="1" x14ac:dyDescent="0.2">
      <c r="B53" t="s">
        <v>100</v>
      </c>
      <c r="C53" s="107">
        <v>631</v>
      </c>
      <c r="D53" s="107">
        <v>2983</v>
      </c>
      <c r="E53" s="107">
        <v>2371</v>
      </c>
      <c r="F53" s="101"/>
      <c r="G53" s="101"/>
      <c r="H53" s="101"/>
      <c r="I53" s="101"/>
      <c r="J53" s="101"/>
      <c r="K53" s="101"/>
      <c r="L53" s="101"/>
      <c r="M53" s="101"/>
      <c r="N53" s="101"/>
      <c r="O53" s="101"/>
      <c r="Q53" s="42"/>
      <c r="R53" s="71" t="s">
        <v>135</v>
      </c>
      <c r="S53" s="43">
        <v>-5</v>
      </c>
      <c r="T53" s="95"/>
    </row>
    <row r="54" spans="2:20" ht="19" customHeight="1" outlineLevel="1" x14ac:dyDescent="0.35">
      <c r="B54" t="s">
        <v>97</v>
      </c>
      <c r="C54" s="108">
        <v>-122</v>
      </c>
      <c r="D54" s="108">
        <v>-545</v>
      </c>
      <c r="E54" s="108">
        <v>-626</v>
      </c>
      <c r="F54" s="101"/>
      <c r="G54" s="101"/>
      <c r="H54" s="101"/>
      <c r="I54" s="101"/>
      <c r="J54" s="101"/>
      <c r="K54" s="101"/>
      <c r="L54" s="101"/>
      <c r="M54" s="101"/>
      <c r="N54" s="101"/>
      <c r="O54" s="101"/>
      <c r="Q54" s="44" t="s">
        <v>137</v>
      </c>
      <c r="R54" s="72" t="s">
        <v>138</v>
      </c>
      <c r="S54" s="45">
        <v>-15</v>
      </c>
      <c r="T54" s="96"/>
    </row>
    <row r="55" spans="2:20" ht="19" outlineLevel="1" x14ac:dyDescent="0.35">
      <c r="B55" t="s">
        <v>104</v>
      </c>
      <c r="C55" s="132">
        <f>C53+C54</f>
        <v>509</v>
      </c>
      <c r="D55" s="132">
        <f t="shared" ref="D55:E55" si="41">D53+D54</f>
        <v>2438</v>
      </c>
      <c r="E55" s="132">
        <f t="shared" si="41"/>
        <v>1745</v>
      </c>
      <c r="F55" s="101"/>
      <c r="G55" s="101"/>
      <c r="H55" s="101"/>
      <c r="I55" s="101"/>
      <c r="J55" s="101"/>
      <c r="K55" s="101"/>
      <c r="L55" s="101"/>
      <c r="M55" s="101"/>
      <c r="N55" s="101"/>
      <c r="O55" s="101"/>
      <c r="Q55" s="44"/>
      <c r="R55" s="73" t="s">
        <v>140</v>
      </c>
      <c r="S55" s="45">
        <v>-5</v>
      </c>
      <c r="T55" s="96"/>
    </row>
    <row r="56" spans="2:20" ht="20" outlineLevel="1" x14ac:dyDescent="0.25">
      <c r="B56" t="s">
        <v>106</v>
      </c>
      <c r="C56" s="107">
        <v>5253</v>
      </c>
      <c r="D56" s="107">
        <v>9310</v>
      </c>
      <c r="E56" s="107">
        <v>10977</v>
      </c>
      <c r="F56" s="101"/>
      <c r="G56" s="101"/>
      <c r="H56" s="101"/>
      <c r="I56" s="101"/>
      <c r="J56" s="101"/>
      <c r="K56" s="101"/>
      <c r="L56" s="101"/>
      <c r="M56" s="101"/>
      <c r="N56" s="101"/>
      <c r="O56" s="101"/>
      <c r="Q56" s="48" t="s">
        <v>142</v>
      </c>
      <c r="R56" s="49" t="s">
        <v>143</v>
      </c>
      <c r="S56" s="47">
        <v>-5</v>
      </c>
      <c r="T56" s="97"/>
    </row>
    <row r="57" spans="2:20" ht="19" outlineLevel="1" x14ac:dyDescent="0.25">
      <c r="B57" t="s">
        <v>97</v>
      </c>
      <c r="C57" s="107">
        <v>-1513</v>
      </c>
      <c r="D57" s="107">
        <v>-3460</v>
      </c>
      <c r="E57" s="107">
        <v>-5020</v>
      </c>
      <c r="F57" s="101"/>
      <c r="G57" s="101"/>
      <c r="H57" s="101"/>
      <c r="I57" s="101"/>
      <c r="J57" s="101"/>
      <c r="K57" s="101"/>
      <c r="L57" s="101"/>
      <c r="M57" s="101"/>
      <c r="N57" s="101"/>
      <c r="O57" s="101"/>
      <c r="Q57" s="48"/>
      <c r="R57" s="49" t="s">
        <v>144</v>
      </c>
      <c r="S57" s="47">
        <v>-5</v>
      </c>
      <c r="T57" s="97"/>
    </row>
    <row r="58" spans="2:20" ht="21" outlineLevel="1" x14ac:dyDescent="0.35">
      <c r="B58" t="s">
        <v>107</v>
      </c>
      <c r="C58" s="108">
        <v>-502</v>
      </c>
      <c r="D58" s="108">
        <v>-593</v>
      </c>
      <c r="E58" s="108">
        <v>-574</v>
      </c>
      <c r="F58" s="101"/>
      <c r="G58" s="101"/>
      <c r="H58" s="101"/>
      <c r="I58" s="101"/>
      <c r="J58" s="101"/>
      <c r="K58" s="101"/>
      <c r="L58" s="101"/>
      <c r="M58" s="101"/>
      <c r="N58" s="101"/>
      <c r="O58" s="101"/>
      <c r="Q58" s="48"/>
      <c r="R58" s="49" t="s">
        <v>146</v>
      </c>
      <c r="S58" s="47">
        <v>-4</v>
      </c>
      <c r="T58" s="97"/>
    </row>
    <row r="59" spans="2:20" ht="21" outlineLevel="1" x14ac:dyDescent="0.35">
      <c r="B59" t="s">
        <v>108</v>
      </c>
      <c r="C59" s="132">
        <f>SUM(C56:C58)</f>
        <v>3238</v>
      </c>
      <c r="D59" s="132">
        <f t="shared" ref="D59:E59" si="42">SUM(D56:D58)</f>
        <v>5257</v>
      </c>
      <c r="E59" s="132">
        <f t="shared" si="42"/>
        <v>5383</v>
      </c>
      <c r="F59" s="101"/>
      <c r="G59" s="101"/>
      <c r="H59" s="101"/>
      <c r="I59" s="101"/>
      <c r="J59" s="101"/>
      <c r="K59" s="101"/>
      <c r="L59" s="101"/>
      <c r="M59" s="101"/>
      <c r="N59" s="101"/>
      <c r="O59" s="101"/>
      <c r="Q59" s="48"/>
      <c r="R59" s="49" t="s">
        <v>148</v>
      </c>
      <c r="S59" s="47">
        <v>-5</v>
      </c>
      <c r="T59" s="97"/>
    </row>
    <row r="60" spans="2:20" ht="19" outlineLevel="1" x14ac:dyDescent="0.25">
      <c r="B60" t="s">
        <v>109</v>
      </c>
      <c r="C60" s="107">
        <v>1592</v>
      </c>
      <c r="D60" s="107">
        <v>4959</v>
      </c>
      <c r="E60" s="107">
        <v>4211</v>
      </c>
      <c r="F60" s="101"/>
      <c r="G60" s="101"/>
      <c r="H60" s="101"/>
      <c r="I60" s="101"/>
      <c r="J60" s="101"/>
      <c r="K60" s="101"/>
      <c r="L60" s="101"/>
      <c r="M60" s="101"/>
      <c r="N60" s="101"/>
      <c r="O60" s="101"/>
      <c r="Q60" s="48"/>
      <c r="R60" s="49" t="s">
        <v>150</v>
      </c>
      <c r="S60" s="47">
        <v>-4</v>
      </c>
      <c r="T60" s="97"/>
    </row>
    <row r="61" spans="2:20" outlineLevel="1" x14ac:dyDescent="0.2">
      <c r="B61" t="s">
        <v>97</v>
      </c>
      <c r="C61" s="107">
        <v>-448</v>
      </c>
      <c r="D61" s="107">
        <v>-1546</v>
      </c>
      <c r="E61" s="107">
        <v>-1704</v>
      </c>
      <c r="F61" s="101"/>
      <c r="G61" s="101"/>
      <c r="H61" s="101"/>
      <c r="I61" s="101"/>
      <c r="J61" s="101"/>
      <c r="K61" s="101"/>
      <c r="L61" s="101"/>
      <c r="M61" s="101"/>
      <c r="N61" s="101"/>
      <c r="O61" s="101"/>
      <c r="Q61" s="50"/>
      <c r="R61" s="49" t="s">
        <v>152</v>
      </c>
      <c r="S61" s="47">
        <v>-4</v>
      </c>
      <c r="T61" s="97"/>
    </row>
    <row r="62" spans="2:20" outlineLevel="1" x14ac:dyDescent="0.2">
      <c r="B62" t="s">
        <v>110</v>
      </c>
      <c r="C62" s="107">
        <v>-91</v>
      </c>
      <c r="D62" s="107">
        <v>-187</v>
      </c>
      <c r="E62" s="107">
        <v>-182</v>
      </c>
      <c r="F62" s="101"/>
      <c r="G62" s="101"/>
      <c r="H62" s="101"/>
      <c r="I62" s="101"/>
      <c r="J62" s="101"/>
      <c r="K62" s="101"/>
      <c r="L62" s="101"/>
      <c r="M62" s="101"/>
      <c r="N62" s="101"/>
      <c r="O62" s="101"/>
      <c r="Q62" s="50"/>
      <c r="R62" s="49" t="s">
        <v>398</v>
      </c>
      <c r="S62" s="47">
        <v>-2</v>
      </c>
      <c r="T62" s="97"/>
    </row>
    <row r="63" spans="2:20" ht="19" outlineLevel="1" x14ac:dyDescent="0.35">
      <c r="B63" t="s">
        <v>111</v>
      </c>
      <c r="C63" s="108">
        <v>-86</v>
      </c>
      <c r="D63" s="108">
        <v>-150</v>
      </c>
      <c r="E63" s="108">
        <v>-139</v>
      </c>
      <c r="F63" s="101"/>
      <c r="G63" s="101"/>
      <c r="H63" s="101"/>
      <c r="I63" s="101"/>
      <c r="J63" s="101"/>
      <c r="K63" s="101"/>
      <c r="L63" s="101"/>
      <c r="M63" s="101"/>
      <c r="N63" s="101"/>
      <c r="O63" s="101"/>
      <c r="Q63" s="50"/>
      <c r="R63" s="49" t="s">
        <v>155</v>
      </c>
      <c r="S63" s="47">
        <v>-5</v>
      </c>
      <c r="T63" s="97"/>
    </row>
    <row r="64" spans="2:20" ht="19" outlineLevel="1" x14ac:dyDescent="0.35">
      <c r="B64" t="s">
        <v>112</v>
      </c>
      <c r="C64" s="132">
        <f>SUM(C60:C63)</f>
        <v>967</v>
      </c>
      <c r="D64" s="132">
        <f t="shared" ref="D64:E64" si="43">SUM(D60:D63)</f>
        <v>3076</v>
      </c>
      <c r="E64" s="132">
        <f t="shared" si="43"/>
        <v>2186</v>
      </c>
      <c r="F64" s="101"/>
      <c r="G64" s="101"/>
      <c r="H64" s="101"/>
      <c r="I64" s="101"/>
      <c r="J64" s="101"/>
      <c r="K64" s="101"/>
      <c r="L64" s="101"/>
      <c r="M64" s="101"/>
      <c r="N64" s="101"/>
      <c r="O64" s="101"/>
      <c r="Q64" s="50"/>
      <c r="R64" s="49" t="s">
        <v>157</v>
      </c>
      <c r="S64" s="47">
        <v>-5</v>
      </c>
      <c r="T64" s="97"/>
    </row>
    <row r="65" spans="2:20" outlineLevel="1" x14ac:dyDescent="0.2">
      <c r="B65" t="s">
        <v>113</v>
      </c>
      <c r="C65" s="107">
        <v>512</v>
      </c>
      <c r="D65" s="107">
        <v>406</v>
      </c>
      <c r="E65" s="107">
        <v>455</v>
      </c>
      <c r="F65" s="101"/>
      <c r="G65" s="101"/>
      <c r="H65" s="101"/>
      <c r="I65" s="101"/>
      <c r="J65" s="101"/>
      <c r="K65" s="101"/>
      <c r="L65" s="101"/>
      <c r="M65" s="101"/>
      <c r="N65" s="101"/>
      <c r="O65" s="101"/>
      <c r="Q65" s="50"/>
      <c r="R65" s="49" t="s">
        <v>159</v>
      </c>
      <c r="S65" s="47">
        <v>-2</v>
      </c>
      <c r="T65" s="97"/>
    </row>
    <row r="66" spans="2:20" outlineLevel="1" x14ac:dyDescent="0.2">
      <c r="B66" t="s">
        <v>114</v>
      </c>
      <c r="C66" s="107">
        <v>-535</v>
      </c>
      <c r="D66" s="107">
        <v>-461</v>
      </c>
      <c r="E66" s="107">
        <v>-347</v>
      </c>
      <c r="F66" s="101"/>
      <c r="G66" s="101"/>
      <c r="H66" s="101"/>
      <c r="I66" s="101"/>
      <c r="J66" s="101"/>
      <c r="K66" s="101"/>
      <c r="L66" s="101"/>
      <c r="M66" s="101"/>
      <c r="N66" s="101"/>
      <c r="O66" s="101"/>
      <c r="Q66" s="50"/>
      <c r="R66" s="49" t="s">
        <v>161</v>
      </c>
      <c r="S66" s="47">
        <v>-2</v>
      </c>
      <c r="T66" s="97"/>
    </row>
    <row r="67" spans="2:20" ht="19" outlineLevel="1" x14ac:dyDescent="0.35">
      <c r="B67" t="s">
        <v>115</v>
      </c>
      <c r="C67" s="108">
        <f>-4-244</f>
        <v>-248</v>
      </c>
      <c r="D67" s="108">
        <f>-254-1533</f>
        <v>-1787</v>
      </c>
      <c r="E67" s="108">
        <f>-76-591</f>
        <v>-667</v>
      </c>
      <c r="F67" s="101"/>
      <c r="G67" s="101"/>
      <c r="H67" s="101"/>
      <c r="I67" s="101"/>
      <c r="J67" s="101"/>
      <c r="K67" s="101"/>
      <c r="L67" s="101"/>
      <c r="M67" s="101"/>
      <c r="N67" s="101"/>
      <c r="O67" s="101"/>
      <c r="Q67" s="50"/>
      <c r="R67" s="49" t="s">
        <v>163</v>
      </c>
      <c r="S67" s="47">
        <v>-2</v>
      </c>
      <c r="T67" s="97"/>
    </row>
    <row r="68" spans="2:20" ht="19" outlineLevel="1" x14ac:dyDescent="0.35">
      <c r="B68" t="s">
        <v>116</v>
      </c>
      <c r="C68" s="132">
        <f>SUM(C65:C67)</f>
        <v>-271</v>
      </c>
      <c r="D68" s="132">
        <f t="shared" ref="D68:E68" si="44">SUM(D65:D67)</f>
        <v>-1842</v>
      </c>
      <c r="E68" s="132">
        <f t="shared" si="44"/>
        <v>-559</v>
      </c>
      <c r="F68" s="101"/>
      <c r="G68" s="101"/>
      <c r="H68" s="101"/>
      <c r="I68" s="101"/>
      <c r="J68" s="101"/>
      <c r="K68" s="101"/>
      <c r="L68" s="101"/>
      <c r="M68" s="101"/>
      <c r="N68" s="101"/>
      <c r="O68" s="101"/>
      <c r="Q68" s="50"/>
      <c r="R68" s="77" t="s">
        <v>399</v>
      </c>
      <c r="S68" s="47">
        <v>-4</v>
      </c>
      <c r="T68" s="97"/>
    </row>
    <row r="69" spans="2:20" outlineLevel="1" x14ac:dyDescent="0.2">
      <c r="B69" s="80" t="s">
        <v>117</v>
      </c>
      <c r="C69" s="107">
        <v>0</v>
      </c>
      <c r="D69" s="107">
        <v>273</v>
      </c>
      <c r="E69" s="107">
        <v>0</v>
      </c>
      <c r="F69" s="101"/>
      <c r="G69" s="101"/>
      <c r="H69" s="101"/>
      <c r="I69" s="101"/>
      <c r="J69" s="101"/>
      <c r="K69" s="101"/>
      <c r="L69" s="101"/>
      <c r="M69" s="101"/>
      <c r="N69" s="101"/>
      <c r="O69" s="101"/>
      <c r="Q69" s="50"/>
      <c r="R69" s="77" t="s">
        <v>165</v>
      </c>
      <c r="S69" s="47"/>
      <c r="T69" s="97"/>
    </row>
    <row r="70" spans="2:20" ht="19" outlineLevel="1" x14ac:dyDescent="0.35">
      <c r="B70" t="s">
        <v>118</v>
      </c>
      <c r="C70" s="108">
        <v>0</v>
      </c>
      <c r="D70" s="108">
        <v>-71</v>
      </c>
      <c r="E70" s="108">
        <v>0</v>
      </c>
      <c r="F70" s="101"/>
      <c r="G70" s="101"/>
      <c r="H70" s="101"/>
      <c r="I70" s="101"/>
      <c r="J70" s="101"/>
      <c r="K70" s="101"/>
      <c r="L70" s="101"/>
      <c r="M70" s="101"/>
      <c r="N70" s="101"/>
      <c r="O70" s="101"/>
      <c r="Q70" s="50"/>
      <c r="R70" s="77" t="s">
        <v>165</v>
      </c>
      <c r="S70" s="47"/>
      <c r="T70" s="95"/>
    </row>
    <row r="71" spans="2:20" ht="19" outlineLevel="1" x14ac:dyDescent="0.35">
      <c r="B71" t="s">
        <v>119</v>
      </c>
      <c r="C71" s="132">
        <f>SUM(C69:C70)</f>
        <v>0</v>
      </c>
      <c r="D71" s="132">
        <f>D69</f>
        <v>273</v>
      </c>
      <c r="E71" s="132">
        <f t="shared" ref="E71" si="45">SUM(E69:E70)</f>
        <v>0</v>
      </c>
      <c r="F71" s="101"/>
      <c r="G71" s="101"/>
      <c r="H71" s="101"/>
      <c r="I71" s="101"/>
      <c r="J71" s="101"/>
      <c r="K71" s="101"/>
      <c r="L71" s="101"/>
      <c r="M71" s="101"/>
      <c r="N71" s="101"/>
      <c r="O71" s="101"/>
      <c r="Q71" s="50"/>
      <c r="R71" s="49" t="s">
        <v>167</v>
      </c>
      <c r="S71" s="47">
        <v>-5</v>
      </c>
      <c r="T71" s="95"/>
    </row>
    <row r="72" spans="2:20" ht="19" outlineLevel="1" x14ac:dyDescent="0.35">
      <c r="B72" t="s">
        <v>120</v>
      </c>
      <c r="C72" s="132">
        <f>-(C51+C54+C57+C61+C70)</f>
        <v>2171</v>
      </c>
      <c r="D72" s="132">
        <f>-(D51+D54+D57+D61)</f>
        <v>5670</v>
      </c>
      <c r="E72" s="132">
        <f t="shared" ref="E72" si="46">-(E51+E54+E57+E61+E70)</f>
        <v>7568</v>
      </c>
      <c r="F72" s="101"/>
      <c r="G72" s="101"/>
      <c r="H72" s="101"/>
      <c r="I72" s="101"/>
      <c r="J72" s="101"/>
      <c r="K72" s="101"/>
      <c r="L72" s="101"/>
      <c r="M72" s="101"/>
      <c r="N72" s="101"/>
      <c r="O72" s="101"/>
      <c r="Q72" s="50"/>
      <c r="R72" s="72" t="s">
        <v>168</v>
      </c>
      <c r="S72" s="47">
        <v>-5</v>
      </c>
      <c r="T72" s="95"/>
    </row>
    <row r="73" spans="2:20" outlineLevel="1" x14ac:dyDescent="0.2">
      <c r="B73" t="s">
        <v>121</v>
      </c>
      <c r="C73" s="107">
        <v>1853</v>
      </c>
      <c r="D73" s="107">
        <v>6023</v>
      </c>
      <c r="E73" s="107">
        <v>6031</v>
      </c>
      <c r="F73" s="101"/>
      <c r="G73" s="101"/>
      <c r="H73" s="101"/>
      <c r="I73" s="101"/>
      <c r="J73" s="101"/>
      <c r="K73" s="101"/>
      <c r="L73" s="101"/>
      <c r="M73" s="101"/>
      <c r="N73" s="101"/>
      <c r="O73" s="101"/>
      <c r="Q73" s="51"/>
      <c r="R73" s="46" t="s">
        <v>170</v>
      </c>
      <c r="S73" s="52">
        <v>-10</v>
      </c>
      <c r="T73" s="98"/>
    </row>
    <row r="74" spans="2:20" ht="21" outlineLevel="1" x14ac:dyDescent="0.35">
      <c r="B74" t="s">
        <v>122</v>
      </c>
      <c r="C74" s="108">
        <v>1394</v>
      </c>
      <c r="D74" s="108">
        <v>3244</v>
      </c>
      <c r="E74" s="108">
        <v>2031</v>
      </c>
      <c r="F74" s="101"/>
      <c r="G74" s="101"/>
      <c r="H74" s="101"/>
      <c r="I74" s="101"/>
      <c r="J74" s="101"/>
      <c r="K74" s="101"/>
      <c r="L74" s="101"/>
      <c r="M74" s="101"/>
      <c r="N74" s="101"/>
      <c r="O74" s="101"/>
      <c r="Q74" s="53" t="s">
        <v>172</v>
      </c>
      <c r="R74" s="54"/>
      <c r="S74" s="54"/>
      <c r="T74" s="54"/>
    </row>
    <row r="75" spans="2:20" ht="21" outlineLevel="1" x14ac:dyDescent="0.35">
      <c r="B75" t="s">
        <v>45</v>
      </c>
      <c r="C75" s="132">
        <f>C73+C74-C58-C63</f>
        <v>3835</v>
      </c>
      <c r="D75" s="132">
        <f>D73+D74-D58-D63</f>
        <v>10010</v>
      </c>
      <c r="E75" s="132">
        <f t="shared" ref="E75" si="47">E73+E74-E58-E63</f>
        <v>8775</v>
      </c>
      <c r="F75" s="101"/>
      <c r="G75" s="101"/>
      <c r="H75" s="101"/>
      <c r="I75" s="101"/>
      <c r="J75" s="101"/>
      <c r="K75" s="101"/>
      <c r="L75" s="101"/>
      <c r="M75" s="101"/>
      <c r="N75" s="101"/>
      <c r="O75" s="101"/>
      <c r="Q75" s="94"/>
      <c r="R75" s="9"/>
      <c r="S75" s="10"/>
      <c r="T75" s="10"/>
    </row>
    <row r="76" spans="2:20" ht="19" outlineLevel="1" x14ac:dyDescent="0.25">
      <c r="C76" s="101"/>
      <c r="D76" s="101"/>
      <c r="E76" s="101"/>
      <c r="F76" s="101"/>
      <c r="G76" s="101"/>
      <c r="H76" s="101"/>
      <c r="I76" s="101"/>
      <c r="J76" s="101"/>
      <c r="K76" s="101"/>
      <c r="L76" s="101"/>
      <c r="M76" s="101"/>
      <c r="N76" s="101"/>
      <c r="O76" s="101"/>
      <c r="Q76" s="94"/>
      <c r="R76" s="9"/>
      <c r="S76" s="10"/>
      <c r="T76" s="10"/>
    </row>
    <row r="77" spans="2:20" ht="19" x14ac:dyDescent="0.25">
      <c r="B77" s="2" t="s">
        <v>123</v>
      </c>
      <c r="C77" s="3" t="str">
        <f>C$5</f>
        <v>2023A</v>
      </c>
      <c r="D77" s="3" t="str">
        <f t="shared" ref="D77:O77" si="48">D$5</f>
        <v>2024A</v>
      </c>
      <c r="E77" s="3" t="str">
        <f t="shared" si="48"/>
        <v>2025A</v>
      </c>
      <c r="F77" s="3" t="str">
        <f t="shared" si="48"/>
        <v>2026P</v>
      </c>
      <c r="G77" s="3" t="str">
        <f t="shared" si="48"/>
        <v>2027P</v>
      </c>
      <c r="H77" s="3" t="str">
        <f t="shared" si="48"/>
        <v>2028P</v>
      </c>
      <c r="I77" s="3" t="str">
        <f t="shared" si="48"/>
        <v xml:space="preserve">2029P </v>
      </c>
      <c r="J77" s="3" t="str">
        <f t="shared" si="48"/>
        <v>2030P</v>
      </c>
      <c r="K77" s="3" t="str">
        <f t="shared" si="48"/>
        <v>2031P</v>
      </c>
      <c r="L77" s="3" t="str">
        <f t="shared" si="48"/>
        <v>2032P</v>
      </c>
      <c r="M77" s="3" t="str">
        <f t="shared" si="48"/>
        <v xml:space="preserve">2033P </v>
      </c>
      <c r="N77" s="3" t="str">
        <f t="shared" si="48"/>
        <v>2034P</v>
      </c>
      <c r="O77" s="3" t="str">
        <f t="shared" si="48"/>
        <v>2035P</v>
      </c>
      <c r="Q77" s="94"/>
      <c r="R77" s="9"/>
      <c r="S77" s="10"/>
      <c r="T77" s="10"/>
    </row>
    <row r="78" spans="2:20" ht="19" outlineLevel="1" x14ac:dyDescent="0.25">
      <c r="B78" s="1" t="s">
        <v>124</v>
      </c>
      <c r="C78" s="106">
        <f>C131</f>
        <v>12539</v>
      </c>
      <c r="D78" s="106">
        <f>D131</f>
        <v>8177</v>
      </c>
      <c r="E78" s="106">
        <f t="shared" ref="E78" si="49">E131</f>
        <v>13939</v>
      </c>
      <c r="F78" s="106">
        <f>F131</f>
        <v>13939</v>
      </c>
      <c r="G78" s="106">
        <f t="shared" ref="G78:O78" si="50">G131</f>
        <v>13939</v>
      </c>
      <c r="H78" s="106">
        <f t="shared" si="50"/>
        <v>13939</v>
      </c>
      <c r="I78" s="106">
        <f t="shared" si="50"/>
        <v>13939</v>
      </c>
      <c r="J78" s="106">
        <f t="shared" si="50"/>
        <v>13939</v>
      </c>
      <c r="K78" s="106">
        <f t="shared" si="50"/>
        <v>13939</v>
      </c>
      <c r="L78" s="106">
        <f t="shared" si="50"/>
        <v>13939</v>
      </c>
      <c r="M78" s="106">
        <f t="shared" si="50"/>
        <v>13939</v>
      </c>
      <c r="N78" s="106">
        <f t="shared" si="50"/>
        <v>13939</v>
      </c>
      <c r="O78" s="106">
        <f t="shared" si="50"/>
        <v>13939</v>
      </c>
      <c r="Q78" s="94"/>
      <c r="R78" s="9"/>
      <c r="S78" s="10"/>
      <c r="T78" s="10"/>
    </row>
    <row r="79" spans="2:20" ht="19" outlineLevel="1" x14ac:dyDescent="0.25">
      <c r="B79" t="s">
        <v>125</v>
      </c>
      <c r="C79" s="106">
        <f>C137</f>
        <v>1650</v>
      </c>
      <c r="D79" s="106">
        <f t="shared" ref="D79:O79" si="51">D137</f>
        <v>1171</v>
      </c>
      <c r="E79" s="106">
        <f t="shared" si="51"/>
        <v>2239</v>
      </c>
      <c r="F79" s="106">
        <f t="shared" si="51"/>
        <v>13266.064778960557</v>
      </c>
      <c r="G79" s="106">
        <f t="shared" si="51"/>
        <v>18663.841511809216</v>
      </c>
      <c r="H79" s="106">
        <f t="shared" si="51"/>
        <v>32729.855365275344</v>
      </c>
      <c r="I79" s="106">
        <f t="shared" si="51"/>
        <v>42360.966505128294</v>
      </c>
      <c r="J79" s="106">
        <f t="shared" si="51"/>
        <v>58171.672537223116</v>
      </c>
      <c r="K79" s="106">
        <f t="shared" si="51"/>
        <v>74220.117647142193</v>
      </c>
      <c r="L79" s="106">
        <f t="shared" si="51"/>
        <v>93811.72479507231</v>
      </c>
      <c r="M79" s="106">
        <f t="shared" si="51"/>
        <v>113341.7217871449</v>
      </c>
      <c r="N79" s="106">
        <f t="shared" si="51"/>
        <v>134153.58131537767</v>
      </c>
      <c r="O79" s="106">
        <f t="shared" si="51"/>
        <v>158742.57503044879</v>
      </c>
      <c r="Q79" s="94"/>
      <c r="R79" s="9"/>
      <c r="S79" s="10"/>
      <c r="T79" s="10"/>
    </row>
    <row r="80" spans="2:20" ht="19" outlineLevel="1" x14ac:dyDescent="0.25">
      <c r="B80" t="s">
        <v>126</v>
      </c>
      <c r="C80" s="106">
        <f t="shared" ref="C80:O82" si="52">C147</f>
        <v>3154</v>
      </c>
      <c r="D80" s="106">
        <f t="shared" si="52"/>
        <v>4416</v>
      </c>
      <c r="E80" s="106">
        <f t="shared" si="52"/>
        <v>7145</v>
      </c>
      <c r="F80" s="106">
        <f>F147</f>
        <v>7493.877204109589</v>
      </c>
      <c r="G80" s="106">
        <f t="shared" si="52"/>
        <v>8747.2713846575334</v>
      </c>
      <c r="H80" s="106">
        <f t="shared" si="52"/>
        <v>9860.6032715342462</v>
      </c>
      <c r="I80" s="106">
        <f t="shared" si="52"/>
        <v>10955.2067189926</v>
      </c>
      <c r="J80" s="106">
        <f t="shared" si="52"/>
        <v>11927.828186683642</v>
      </c>
      <c r="K80" s="106">
        <f t="shared" si="52"/>
        <v>12778.819110083432</v>
      </c>
      <c r="L80" s="106">
        <f t="shared" si="52"/>
        <v>13592.812889192046</v>
      </c>
      <c r="M80" s="106">
        <f t="shared" si="52"/>
        <v>14324.637161602457</v>
      </c>
      <c r="N80" s="106">
        <f t="shared" si="52"/>
        <v>14983.364462369684</v>
      </c>
      <c r="O80" s="106">
        <f t="shared" si="52"/>
        <v>15553.084193848326</v>
      </c>
      <c r="Q80" s="94"/>
      <c r="R80" s="9"/>
      <c r="S80" s="10"/>
      <c r="T80" s="10"/>
    </row>
    <row r="81" spans="2:21" ht="19" outlineLevel="1" x14ac:dyDescent="0.25">
      <c r="B81" t="s">
        <v>127</v>
      </c>
      <c r="C81" s="106">
        <f t="shared" si="52"/>
        <v>1898</v>
      </c>
      <c r="D81" s="106">
        <f t="shared" si="52"/>
        <v>1760</v>
      </c>
      <c r="E81" s="106">
        <f t="shared" si="52"/>
        <v>2270</v>
      </c>
      <c r="F81" s="106">
        <f t="shared" si="52"/>
        <v>8013.7159356164393</v>
      </c>
      <c r="G81" s="106">
        <f t="shared" si="52"/>
        <v>9448.1976871232891</v>
      </c>
      <c r="H81" s="106">
        <f t="shared" si="52"/>
        <v>10771.726753232877</v>
      </c>
      <c r="I81" s="106">
        <f t="shared" si="52"/>
        <v>10991.264402835861</v>
      </c>
      <c r="J81" s="106">
        <f t="shared" si="52"/>
        <v>12032.452646849855</v>
      </c>
      <c r="K81" s="106">
        <f t="shared" si="52"/>
        <v>12946.380773731395</v>
      </c>
      <c r="L81" s="106">
        <f t="shared" si="52"/>
        <v>13814.666321696759</v>
      </c>
      <c r="M81" s="106">
        <f t="shared" si="52"/>
        <v>14604.066750554899</v>
      </c>
      <c r="N81" s="106">
        <f t="shared" si="52"/>
        <v>15307.160796777991</v>
      </c>
      <c r="O81" s="106">
        <f t="shared" si="52"/>
        <v>15905.485943627213</v>
      </c>
      <c r="Q81" s="94"/>
      <c r="R81" s="9"/>
      <c r="S81" s="10"/>
      <c r="T81" s="10"/>
    </row>
    <row r="82" spans="2:21" ht="21" outlineLevel="1" x14ac:dyDescent="0.35">
      <c r="B82" t="s">
        <v>128</v>
      </c>
      <c r="C82" s="206">
        <f t="shared" si="52"/>
        <v>1606</v>
      </c>
      <c r="D82" s="206">
        <f t="shared" si="52"/>
        <v>4071</v>
      </c>
      <c r="E82" s="206">
        <f t="shared" si="52"/>
        <v>5980</v>
      </c>
      <c r="F82" s="206">
        <f>F149</f>
        <v>5626.8312264000006</v>
      </c>
      <c r="G82" s="206">
        <f t="shared" si="52"/>
        <v>6567.9511996799993</v>
      </c>
      <c r="H82" s="206">
        <f t="shared" si="52"/>
        <v>7403.9043993119994</v>
      </c>
      <c r="I82" s="206">
        <f t="shared" si="52"/>
        <v>8225.7952164321578</v>
      </c>
      <c r="J82" s="206">
        <f t="shared" si="52"/>
        <v>8956.0949927441743</v>
      </c>
      <c r="K82" s="206">
        <f t="shared" si="52"/>
        <v>9595.0676060855021</v>
      </c>
      <c r="L82" s="206">
        <f t="shared" si="52"/>
        <v>10206.260649370484</v>
      </c>
      <c r="M82" s="206">
        <f t="shared" si="52"/>
        <v>10755.756131626073</v>
      </c>
      <c r="N82" s="206">
        <f t="shared" si="52"/>
        <v>11250.366230602149</v>
      </c>
      <c r="O82" s="206">
        <f t="shared" si="52"/>
        <v>11678.144360409542</v>
      </c>
      <c r="Q82" s="94"/>
      <c r="R82" s="9"/>
      <c r="S82" s="10"/>
      <c r="T82" s="10"/>
    </row>
    <row r="83" spans="2:21" ht="19" outlineLevel="1" x14ac:dyDescent="0.25">
      <c r="B83" t="s">
        <v>129</v>
      </c>
      <c r="C83" s="106">
        <f t="shared" ref="C83:O83" si="53">SUM(C78:C82)</f>
        <v>20847</v>
      </c>
      <c r="D83" s="106">
        <f t="shared" si="53"/>
        <v>19595</v>
      </c>
      <c r="E83" s="106">
        <f t="shared" si="53"/>
        <v>31573</v>
      </c>
      <c r="F83" s="106">
        <f t="shared" si="53"/>
        <v>48339.489145086583</v>
      </c>
      <c r="G83" s="106">
        <f t="shared" si="53"/>
        <v>57366.261783270042</v>
      </c>
      <c r="H83" s="106">
        <f t="shared" si="53"/>
        <v>74705.089789354461</v>
      </c>
      <c r="I83" s="106">
        <f t="shared" si="53"/>
        <v>86472.23284338892</v>
      </c>
      <c r="J83" s="106">
        <f t="shared" si="53"/>
        <v>105027.04836350078</v>
      </c>
      <c r="K83" s="106">
        <f t="shared" si="53"/>
        <v>123479.38513704253</v>
      </c>
      <c r="L83" s="106">
        <f t="shared" si="53"/>
        <v>145364.46465533163</v>
      </c>
      <c r="M83" s="106">
        <f t="shared" si="53"/>
        <v>166965.18183092834</v>
      </c>
      <c r="N83" s="106">
        <f t="shared" si="53"/>
        <v>189633.47280512747</v>
      </c>
      <c r="O83" s="106">
        <f t="shared" si="53"/>
        <v>215818.2895283339</v>
      </c>
      <c r="Q83" s="94"/>
      <c r="R83" s="9"/>
      <c r="S83" s="10"/>
      <c r="T83" s="10"/>
    </row>
    <row r="84" spans="2:21" ht="19" outlineLevel="1" x14ac:dyDescent="0.25">
      <c r="C84" s="106"/>
      <c r="D84" s="101"/>
      <c r="E84" s="106"/>
      <c r="F84" s="106"/>
      <c r="G84" s="106"/>
      <c r="H84" s="106"/>
      <c r="I84" s="106"/>
      <c r="J84" s="106"/>
      <c r="K84" s="106"/>
      <c r="L84" s="106"/>
      <c r="M84" s="106"/>
      <c r="N84" s="106"/>
      <c r="O84" s="106"/>
      <c r="Q84" s="94"/>
      <c r="R84" s="9"/>
      <c r="S84" s="10"/>
      <c r="T84" s="10"/>
    </row>
    <row r="85" spans="2:21" outlineLevel="1" x14ac:dyDescent="0.2">
      <c r="B85" t="s">
        <v>132</v>
      </c>
      <c r="C85" s="106">
        <f>C167</f>
        <v>3867</v>
      </c>
      <c r="D85" s="106">
        <f>D167</f>
        <v>40583</v>
      </c>
      <c r="E85" s="106">
        <f>E167</f>
        <v>32273</v>
      </c>
      <c r="F85" s="106">
        <f t="shared" ref="F85:O85" si="54">F167</f>
        <v>24998.665861175003</v>
      </c>
      <c r="G85" s="106">
        <f t="shared" si="54"/>
        <v>18823.317516969251</v>
      </c>
      <c r="H85" s="106">
        <f t="shared" si="54"/>
        <v>13805.473088561503</v>
      </c>
      <c r="I85" s="106">
        <f t="shared" si="54"/>
        <v>9929.8306831935515</v>
      </c>
      <c r="J85" s="106">
        <f t="shared" si="54"/>
        <v>7235.1443410373849</v>
      </c>
      <c r="K85" s="106">
        <f t="shared" si="54"/>
        <v>5532.5542555472975</v>
      </c>
      <c r="L85" s="106">
        <f t="shared" si="54"/>
        <v>5331.6763532590103</v>
      </c>
      <c r="M85" s="106">
        <f t="shared" si="54"/>
        <v>5919.8538701178322</v>
      </c>
      <c r="N85" s="106">
        <f t="shared" si="54"/>
        <v>6458.7180585526676</v>
      </c>
      <c r="O85" s="106">
        <f t="shared" si="54"/>
        <v>6936.670285430544</v>
      </c>
      <c r="R85" s="9"/>
      <c r="S85" s="10"/>
      <c r="T85" s="10"/>
    </row>
    <row r="86" spans="2:21" ht="21" customHeight="1" outlineLevel="1" x14ac:dyDescent="0.2">
      <c r="B86" t="s">
        <v>133</v>
      </c>
      <c r="C86" s="106">
        <f>C176</f>
        <v>463</v>
      </c>
      <c r="D86" s="106">
        <f>D176</f>
        <v>1325</v>
      </c>
      <c r="E86" s="106">
        <f>E176</f>
        <v>1318</v>
      </c>
      <c r="F86" s="106">
        <f t="shared" ref="F86:O86" si="55">F176</f>
        <v>1504.335</v>
      </c>
      <c r="G86" s="106">
        <f t="shared" si="55"/>
        <v>1599.5768130000001</v>
      </c>
      <c r="H86" s="106">
        <f t="shared" si="55"/>
        <v>1619.3711846614001</v>
      </c>
      <c r="I86" s="106">
        <f t="shared" si="55"/>
        <v>1635.111727288215</v>
      </c>
      <c r="J86" s="106">
        <f t="shared" si="55"/>
        <v>1641.6046678525918</v>
      </c>
      <c r="K86" s="106">
        <f t="shared" si="55"/>
        <v>1648.4079709759458</v>
      </c>
      <c r="L86" s="106">
        <f t="shared" si="55"/>
        <v>1695.5364719885961</v>
      </c>
      <c r="M86" s="106">
        <f t="shared" si="55"/>
        <v>1724.917715349651</v>
      </c>
      <c r="N86" s="106">
        <f t="shared" si="55"/>
        <v>1755.7033821433643</v>
      </c>
      <c r="O86" s="106">
        <f t="shared" si="55"/>
        <v>1787.9606038098173</v>
      </c>
      <c r="Q86" s="8"/>
      <c r="R86" s="9"/>
      <c r="S86" s="10"/>
      <c r="T86" s="10"/>
    </row>
    <row r="87" spans="2:21" ht="21" customHeight="1" outlineLevel="1" x14ac:dyDescent="0.2">
      <c r="B87" t="s">
        <v>134</v>
      </c>
      <c r="C87" s="106">
        <f>C194</f>
        <v>2154</v>
      </c>
      <c r="D87" s="106">
        <f>D194</f>
        <v>2521</v>
      </c>
      <c r="E87" s="106">
        <f>E194</f>
        <v>2530</v>
      </c>
      <c r="F87" s="106">
        <f t="shared" ref="F87:O87" si="56">F194</f>
        <v>3460.5086740000002</v>
      </c>
      <c r="G87" s="106">
        <f t="shared" si="56"/>
        <v>5332.0278386999998</v>
      </c>
      <c r="H87" s="106">
        <f t="shared" si="56"/>
        <v>8112.3011008649992</v>
      </c>
      <c r="I87" s="106">
        <f t="shared" si="56"/>
        <v>10654.112056999949</v>
      </c>
      <c r="J87" s="106">
        <f t="shared" si="56"/>
        <v>13890.471092667865</v>
      </c>
      <c r="K87" s="106">
        <f t="shared" si="56"/>
        <v>16664.380579835797</v>
      </c>
      <c r="L87" s="106">
        <f t="shared" si="56"/>
        <v>19086.035023989054</v>
      </c>
      <c r="M87" s="106">
        <f t="shared" si="56"/>
        <v>22705.075326960512</v>
      </c>
      <c r="N87" s="106">
        <f t="shared" si="56"/>
        <v>25722.959427580026</v>
      </c>
      <c r="O87" s="106">
        <f t="shared" si="56"/>
        <v>28252.317754865573</v>
      </c>
      <c r="Q87" s="297"/>
      <c r="R87" s="9"/>
      <c r="S87" s="10"/>
      <c r="T87" s="10"/>
    </row>
    <row r="88" spans="2:21" ht="19" customHeight="1" outlineLevel="1" x14ac:dyDescent="0.2">
      <c r="B88" t="s">
        <v>136</v>
      </c>
      <c r="C88" s="208">
        <f t="shared" ref="C88:O88" si="57">C205</f>
        <v>43653</v>
      </c>
      <c r="D88" s="208">
        <f t="shared" si="57"/>
        <v>97873</v>
      </c>
      <c r="E88" s="208">
        <f t="shared" si="57"/>
        <v>97801</v>
      </c>
      <c r="F88" s="208">
        <f t="shared" si="57"/>
        <v>97801</v>
      </c>
      <c r="G88" s="208">
        <f t="shared" si="57"/>
        <v>97801</v>
      </c>
      <c r="H88" s="208">
        <f t="shared" si="57"/>
        <v>97801</v>
      </c>
      <c r="I88" s="208">
        <f t="shared" si="57"/>
        <v>97801</v>
      </c>
      <c r="J88" s="208">
        <f t="shared" si="57"/>
        <v>97801</v>
      </c>
      <c r="K88" s="208">
        <f t="shared" si="57"/>
        <v>97801</v>
      </c>
      <c r="L88" s="208">
        <f t="shared" si="57"/>
        <v>97801</v>
      </c>
      <c r="M88" s="208">
        <f t="shared" si="57"/>
        <v>97801</v>
      </c>
      <c r="N88" s="208">
        <f t="shared" si="57"/>
        <v>97801</v>
      </c>
      <c r="O88" s="208">
        <f t="shared" si="57"/>
        <v>97801</v>
      </c>
      <c r="Q88" s="297"/>
      <c r="R88" s="9"/>
      <c r="S88" s="10"/>
      <c r="T88" s="10"/>
    </row>
    <row r="89" spans="2:21" ht="19" customHeight="1" outlineLevel="1" x14ac:dyDescent="0.35">
      <c r="B89" t="s">
        <v>139</v>
      </c>
      <c r="C89" s="209">
        <f t="shared" ref="C89:O89" si="58">C212</f>
        <v>1877</v>
      </c>
      <c r="D89" s="209">
        <f t="shared" si="58"/>
        <v>3748</v>
      </c>
      <c r="E89" s="209">
        <f t="shared" si="58"/>
        <v>5597</v>
      </c>
      <c r="F89" s="209">
        <f t="shared" si="58"/>
        <v>5597</v>
      </c>
      <c r="G89" s="209">
        <f t="shared" si="58"/>
        <v>5597</v>
      </c>
      <c r="H89" s="209">
        <f t="shared" si="58"/>
        <v>5597</v>
      </c>
      <c r="I89" s="209">
        <f t="shared" si="58"/>
        <v>5597</v>
      </c>
      <c r="J89" s="209">
        <f t="shared" si="58"/>
        <v>5597</v>
      </c>
      <c r="K89" s="209">
        <f t="shared" si="58"/>
        <v>5597</v>
      </c>
      <c r="L89" s="209">
        <f t="shared" si="58"/>
        <v>5597</v>
      </c>
      <c r="M89" s="209">
        <f t="shared" si="58"/>
        <v>5597</v>
      </c>
      <c r="N89" s="209">
        <f t="shared" si="58"/>
        <v>5597</v>
      </c>
      <c r="O89" s="209">
        <f t="shared" si="58"/>
        <v>5597</v>
      </c>
      <c r="Q89" s="297"/>
      <c r="R89" s="9"/>
      <c r="S89" s="10"/>
      <c r="T89" s="10"/>
    </row>
    <row r="90" spans="2:21" ht="18" customHeight="1" outlineLevel="1" x14ac:dyDescent="0.25">
      <c r="B90" t="s">
        <v>141</v>
      </c>
      <c r="C90" s="106">
        <f>SUM(C85:C89)+C83</f>
        <v>72861</v>
      </c>
      <c r="D90" s="106">
        <f>SUM(D85:D89)+D83</f>
        <v>165645</v>
      </c>
      <c r="E90" s="106">
        <f>SUM(E85:E89)+E83</f>
        <v>171092</v>
      </c>
      <c r="F90" s="106">
        <f t="shared" ref="F90:O90" si="59">SUM(F85:F89)+F83</f>
        <v>181700.99868026157</v>
      </c>
      <c r="G90" s="106">
        <f t="shared" si="59"/>
        <v>186519.18395193928</v>
      </c>
      <c r="H90" s="106">
        <f t="shared" si="59"/>
        <v>201640.23516344238</v>
      </c>
      <c r="I90" s="106">
        <f t="shared" si="59"/>
        <v>212089.28731087063</v>
      </c>
      <c r="J90" s="106">
        <f t="shared" si="59"/>
        <v>231192.26846505865</v>
      </c>
      <c r="K90" s="106">
        <f t="shared" si="59"/>
        <v>250722.72794340155</v>
      </c>
      <c r="L90" s="106">
        <f t="shared" si="59"/>
        <v>274875.71250456828</v>
      </c>
      <c r="M90" s="106">
        <f t="shared" si="59"/>
        <v>300713.02874335635</v>
      </c>
      <c r="N90" s="106">
        <f t="shared" si="59"/>
        <v>326968.8536734035</v>
      </c>
      <c r="O90" s="106">
        <f t="shared" si="59"/>
        <v>356193.23817243986</v>
      </c>
      <c r="Q90" s="298"/>
      <c r="R90" s="299"/>
      <c r="S90" s="10"/>
      <c r="T90" s="10"/>
    </row>
    <row r="91" spans="2:21" ht="18" customHeight="1" outlineLevel="1" x14ac:dyDescent="0.25">
      <c r="C91" s="106"/>
      <c r="D91" s="101"/>
      <c r="E91" s="262"/>
      <c r="F91" s="106"/>
      <c r="G91" s="106"/>
      <c r="H91" s="106"/>
      <c r="I91" s="106"/>
      <c r="J91" s="106"/>
      <c r="K91" s="106"/>
      <c r="L91" s="106"/>
      <c r="M91" s="106"/>
      <c r="N91" s="106"/>
      <c r="O91" s="106"/>
      <c r="Q91" s="298"/>
      <c r="R91" s="299"/>
      <c r="S91" s="10"/>
      <c r="T91" s="10"/>
      <c r="U91" s="1"/>
    </row>
    <row r="92" spans="2:21" ht="18" customHeight="1" outlineLevel="1" x14ac:dyDescent="0.25">
      <c r="B92" t="s">
        <v>145</v>
      </c>
      <c r="C92" s="106">
        <f t="shared" ref="C92:O94" si="60">C150</f>
        <v>1210</v>
      </c>
      <c r="D92" s="106">
        <f t="shared" si="60"/>
        <v>1662</v>
      </c>
      <c r="E92" s="106">
        <f t="shared" si="60"/>
        <v>1560</v>
      </c>
      <c r="F92" s="106">
        <f t="shared" si="60"/>
        <v>2564.3890993972605</v>
      </c>
      <c r="G92" s="106">
        <f t="shared" si="60"/>
        <v>3023.4232598794524</v>
      </c>
      <c r="H92" s="106">
        <f t="shared" si="60"/>
        <v>3446.9525610345204</v>
      </c>
      <c r="I92" s="106">
        <f t="shared" si="60"/>
        <v>3517.2046089074752</v>
      </c>
      <c r="J92" s="106">
        <f t="shared" si="60"/>
        <v>3850.384846991954</v>
      </c>
      <c r="K92" s="106">
        <f t="shared" si="60"/>
        <v>4142.8418475940471</v>
      </c>
      <c r="L92" s="106">
        <f t="shared" si="60"/>
        <v>4420.6932229429631</v>
      </c>
      <c r="M92" s="106">
        <f t="shared" si="60"/>
        <v>4673.3013601775674</v>
      </c>
      <c r="N92" s="106">
        <f t="shared" si="60"/>
        <v>4898.2914549689576</v>
      </c>
      <c r="O92" s="106">
        <f t="shared" si="60"/>
        <v>5089.755501960708</v>
      </c>
      <c r="Q92" s="298"/>
      <c r="R92" s="299"/>
      <c r="S92" s="10"/>
      <c r="T92" s="10"/>
    </row>
    <row r="93" spans="2:21" ht="18" customHeight="1" outlineLevel="1" x14ac:dyDescent="0.25">
      <c r="B93" t="s">
        <v>147</v>
      </c>
      <c r="C93" s="106">
        <f t="shared" si="60"/>
        <v>935</v>
      </c>
      <c r="D93" s="106">
        <f t="shared" si="60"/>
        <v>1971</v>
      </c>
      <c r="E93" s="106">
        <f t="shared" si="60"/>
        <v>2129</v>
      </c>
      <c r="F93" s="106">
        <f t="shared" si="60"/>
        <v>2524.2590085100005</v>
      </c>
      <c r="G93" s="106">
        <f t="shared" si="60"/>
        <v>2946.455885412</v>
      </c>
      <c r="H93" s="106">
        <f t="shared" si="60"/>
        <v>3321.4737791358002</v>
      </c>
      <c r="I93" s="106">
        <f t="shared" si="60"/>
        <v>3690.1831318160935</v>
      </c>
      <c r="J93" s="106">
        <f t="shared" si="60"/>
        <v>4017.8037259116236</v>
      </c>
      <c r="K93" s="106">
        <f t="shared" si="60"/>
        <v>4304.4539399522464</v>
      </c>
      <c r="L93" s="106">
        <f t="shared" si="60"/>
        <v>4578.6419302037039</v>
      </c>
      <c r="M93" s="106">
        <f t="shared" si="60"/>
        <v>4825.1517090489197</v>
      </c>
      <c r="N93" s="106">
        <f t="shared" si="60"/>
        <v>5047.0392951173535</v>
      </c>
      <c r="O93" s="106">
        <f t="shared" si="60"/>
        <v>5238.9453172392823</v>
      </c>
      <c r="Q93" s="298"/>
      <c r="R93" s="299"/>
      <c r="S93" s="10"/>
      <c r="T93" s="10"/>
    </row>
    <row r="94" spans="2:21" ht="18" customHeight="1" outlineLevel="1" x14ac:dyDescent="0.25">
      <c r="B94" t="s">
        <v>149</v>
      </c>
      <c r="C94" s="106">
        <f>C152</f>
        <v>3592</v>
      </c>
      <c r="D94" s="106">
        <f t="shared" si="60"/>
        <v>11586</v>
      </c>
      <c r="E94" s="106">
        <f t="shared" si="60"/>
        <v>11529</v>
      </c>
      <c r="F94" s="106">
        <f t="shared" si="60"/>
        <v>13152.717991710002</v>
      </c>
      <c r="G94" s="106">
        <f t="shared" si="60"/>
        <v>15352.585929252</v>
      </c>
      <c r="H94" s="106">
        <f t="shared" si="60"/>
        <v>17306.626533391802</v>
      </c>
      <c r="I94" s="106">
        <f t="shared" si="60"/>
        <v>19227.796318410172</v>
      </c>
      <c r="J94" s="106">
        <f t="shared" si="60"/>
        <v>20934.872045539512</v>
      </c>
      <c r="K94" s="106">
        <f t="shared" si="60"/>
        <v>22428.470529224862</v>
      </c>
      <c r="L94" s="106">
        <f t="shared" si="60"/>
        <v>23857.134267903511</v>
      </c>
      <c r="M94" s="106">
        <f t="shared" si="60"/>
        <v>25141.579957675949</v>
      </c>
      <c r="N94" s="106">
        <f t="shared" si="60"/>
        <v>26297.731064032527</v>
      </c>
      <c r="O94" s="106">
        <f t="shared" si="60"/>
        <v>27297.662442457309</v>
      </c>
      <c r="Q94" s="298"/>
      <c r="R94" s="299"/>
      <c r="S94" s="10"/>
      <c r="T94" s="10"/>
    </row>
    <row r="95" spans="2:21" ht="18" customHeight="1" outlineLevel="1" x14ac:dyDescent="0.2">
      <c r="B95" t="s">
        <v>151</v>
      </c>
      <c r="C95" s="106">
        <f t="shared" ref="C95:O95" si="61">SUM(C92:C94)</f>
        <v>5737</v>
      </c>
      <c r="D95" s="106">
        <f t="shared" si="61"/>
        <v>15219</v>
      </c>
      <c r="E95" s="106">
        <f t="shared" si="61"/>
        <v>15218</v>
      </c>
      <c r="F95" s="106">
        <f>SUM(F92:F94)</f>
        <v>18241.366099617262</v>
      </c>
      <c r="G95" s="106">
        <f t="shared" si="61"/>
        <v>21322.465074543452</v>
      </c>
      <c r="H95" s="106">
        <f t="shared" si="61"/>
        <v>24075.052873562123</v>
      </c>
      <c r="I95" s="106">
        <f t="shared" si="61"/>
        <v>26435.184059133739</v>
      </c>
      <c r="J95" s="106">
        <f t="shared" si="61"/>
        <v>28803.060618443091</v>
      </c>
      <c r="K95" s="106">
        <f t="shared" si="61"/>
        <v>30875.766316771154</v>
      </c>
      <c r="L95" s="106">
        <f t="shared" si="61"/>
        <v>32856.469421050177</v>
      </c>
      <c r="M95" s="106">
        <f t="shared" si="61"/>
        <v>34640.033026902434</v>
      </c>
      <c r="N95" s="106">
        <f t="shared" si="61"/>
        <v>36243.061814118839</v>
      </c>
      <c r="O95" s="106">
        <f t="shared" si="61"/>
        <v>37626.363261657301</v>
      </c>
      <c r="Q95" s="8"/>
      <c r="R95" s="299"/>
      <c r="S95" s="10"/>
      <c r="T95" s="10"/>
    </row>
    <row r="96" spans="2:21" ht="18" customHeight="1" outlineLevel="1" x14ac:dyDescent="0.2">
      <c r="B96" t="s">
        <v>153</v>
      </c>
      <c r="C96" s="106">
        <f>C181</f>
        <v>419</v>
      </c>
      <c r="D96" s="106">
        <f t="shared" ref="D96:O96" si="62">D181</f>
        <v>1350</v>
      </c>
      <c r="E96" s="106">
        <f t="shared" si="62"/>
        <v>1325</v>
      </c>
      <c r="F96" s="106">
        <f t="shared" si="62"/>
        <v>1511.335</v>
      </c>
      <c r="G96" s="106">
        <f t="shared" si="62"/>
        <v>1606.5768130000001</v>
      </c>
      <c r="H96" s="106">
        <f t="shared" si="62"/>
        <v>1626.3711846614001</v>
      </c>
      <c r="I96" s="106">
        <f t="shared" si="62"/>
        <v>1642.111727288215</v>
      </c>
      <c r="J96" s="106">
        <f t="shared" si="62"/>
        <v>1648.6046678525918</v>
      </c>
      <c r="K96" s="106">
        <f t="shared" si="62"/>
        <v>1655.4079709759458</v>
      </c>
      <c r="L96" s="106">
        <f t="shared" si="62"/>
        <v>1702.5364719885961</v>
      </c>
      <c r="M96" s="106">
        <f t="shared" si="62"/>
        <v>1731.917715349651</v>
      </c>
      <c r="N96" s="106">
        <f t="shared" si="62"/>
        <v>1762.7033821433643</v>
      </c>
      <c r="O96" s="106">
        <f t="shared" si="62"/>
        <v>1794.9606038098173</v>
      </c>
      <c r="Q96" s="8"/>
      <c r="R96" s="299"/>
      <c r="S96" s="10"/>
      <c r="T96" s="10"/>
    </row>
    <row r="97" spans="2:20" ht="18" customHeight="1" outlineLevel="1" x14ac:dyDescent="0.2">
      <c r="B97" t="s">
        <v>154</v>
      </c>
      <c r="C97" s="208">
        <f t="shared" ref="C97:O97" si="63">C219</f>
        <v>3488</v>
      </c>
      <c r="D97" s="208">
        <f t="shared" si="63"/>
        <v>13832</v>
      </c>
      <c r="E97" s="208">
        <f t="shared" si="63"/>
        <v>8121</v>
      </c>
      <c r="F97" s="208">
        <f t="shared" si="63"/>
        <v>8121</v>
      </c>
      <c r="G97" s="208">
        <f t="shared" si="63"/>
        <v>8121</v>
      </c>
      <c r="H97" s="208">
        <f t="shared" si="63"/>
        <v>8121</v>
      </c>
      <c r="I97" s="208">
        <f t="shared" si="63"/>
        <v>8121</v>
      </c>
      <c r="J97" s="208">
        <f t="shared" si="63"/>
        <v>8121</v>
      </c>
      <c r="K97" s="208">
        <f t="shared" si="63"/>
        <v>8121</v>
      </c>
      <c r="L97" s="208">
        <f t="shared" si="63"/>
        <v>8121</v>
      </c>
      <c r="M97" s="208">
        <f t="shared" si="63"/>
        <v>8121</v>
      </c>
      <c r="N97" s="208">
        <f t="shared" si="63"/>
        <v>8121</v>
      </c>
      <c r="O97" s="208">
        <f t="shared" si="63"/>
        <v>8121</v>
      </c>
      <c r="Q97" s="8"/>
      <c r="R97" s="299"/>
      <c r="S97" s="10"/>
      <c r="T97" s="10"/>
    </row>
    <row r="98" spans="2:20" ht="18" customHeight="1" outlineLevel="1" x14ac:dyDescent="0.35">
      <c r="B98" t="s">
        <v>156</v>
      </c>
      <c r="C98" s="206">
        <f t="shared" ref="C98:O98" si="64">C249</f>
        <v>39229</v>
      </c>
      <c r="D98" s="206">
        <f t="shared" si="64"/>
        <v>67566</v>
      </c>
      <c r="E98" s="206">
        <f t="shared" si="64"/>
        <v>65136</v>
      </c>
      <c r="F98" s="206">
        <f t="shared" si="64"/>
        <v>63196</v>
      </c>
      <c r="G98" s="206">
        <f t="shared" si="64"/>
        <v>51464</v>
      </c>
      <c r="H98" s="206">
        <f t="shared" si="64"/>
        <v>47194</v>
      </c>
      <c r="I98" s="206">
        <f t="shared" si="64"/>
        <v>34539</v>
      </c>
      <c r="J98" s="206">
        <f t="shared" si="64"/>
        <v>29827</v>
      </c>
      <c r="K98" s="206">
        <f t="shared" si="64"/>
        <v>24077</v>
      </c>
      <c r="L98" s="206">
        <f t="shared" si="64"/>
        <v>20002</v>
      </c>
      <c r="M98" s="206">
        <f t="shared" si="64"/>
        <v>16002</v>
      </c>
      <c r="N98" s="206">
        <f t="shared" si="64"/>
        <v>10996</v>
      </c>
      <c r="O98" s="206">
        <f t="shared" si="64"/>
        <v>7746</v>
      </c>
      <c r="Q98" s="8"/>
      <c r="R98" s="299"/>
      <c r="S98" s="10"/>
      <c r="T98" s="10"/>
    </row>
    <row r="99" spans="2:20" ht="18" customHeight="1" outlineLevel="1" x14ac:dyDescent="0.2">
      <c r="B99" t="s">
        <v>158</v>
      </c>
      <c r="C99" s="106">
        <f t="shared" ref="C99:O99" si="65">SUM(C95:C98)</f>
        <v>48873</v>
      </c>
      <c r="D99" s="106">
        <f t="shared" si="65"/>
        <v>97967</v>
      </c>
      <c r="E99" s="106">
        <f t="shared" si="65"/>
        <v>89800</v>
      </c>
      <c r="F99" s="106">
        <f>SUM(F95:F98)</f>
        <v>91069.701099617261</v>
      </c>
      <c r="G99" s="106">
        <f t="shared" si="65"/>
        <v>82514.041887543455</v>
      </c>
      <c r="H99" s="106">
        <f t="shared" si="65"/>
        <v>81016.424058223522</v>
      </c>
      <c r="I99" s="106">
        <f t="shared" si="65"/>
        <v>70737.29578642195</v>
      </c>
      <c r="J99" s="106">
        <f t="shared" si="65"/>
        <v>68399.665286295683</v>
      </c>
      <c r="K99" s="106">
        <f t="shared" si="65"/>
        <v>64729.174287747097</v>
      </c>
      <c r="L99" s="106">
        <f t="shared" si="65"/>
        <v>62682.005893038775</v>
      </c>
      <c r="M99" s="106">
        <f t="shared" si="65"/>
        <v>60494.950742252084</v>
      </c>
      <c r="N99" s="106">
        <f t="shared" si="65"/>
        <v>57122.765196262204</v>
      </c>
      <c r="O99" s="106">
        <f t="shared" si="65"/>
        <v>55288.323865467115</v>
      </c>
      <c r="Q99" s="8"/>
      <c r="R99" s="299"/>
      <c r="S99" s="10"/>
      <c r="T99" s="10"/>
    </row>
    <row r="100" spans="2:20" ht="18" customHeight="1" outlineLevel="1" x14ac:dyDescent="0.35">
      <c r="B100" t="s">
        <v>160</v>
      </c>
      <c r="C100" s="206">
        <f t="shared" ref="C100:O100" si="66">C263</f>
        <v>23988</v>
      </c>
      <c r="D100" s="206">
        <f t="shared" si="66"/>
        <v>67678</v>
      </c>
      <c r="E100" s="206">
        <f t="shared" si="66"/>
        <v>81292</v>
      </c>
      <c r="F100" s="206">
        <f t="shared" si="66"/>
        <v>90631.297580644314</v>
      </c>
      <c r="G100" s="206">
        <f t="shared" si="66"/>
        <v>104005.14206439581</v>
      </c>
      <c r="H100" s="206">
        <f t="shared" si="66"/>
        <v>120623.81110521882</v>
      </c>
      <c r="I100" s="206">
        <f t="shared" si="66"/>
        <v>141351.99152444865</v>
      </c>
      <c r="J100" s="206">
        <f t="shared" si="66"/>
        <v>162792.60317876292</v>
      </c>
      <c r="K100" s="206">
        <f t="shared" si="66"/>
        <v>185993.55365565445</v>
      </c>
      <c r="L100" s="206">
        <f t="shared" si="66"/>
        <v>212193.70661152946</v>
      </c>
      <c r="M100" s="206">
        <f t="shared" si="66"/>
        <v>240218.07800110421</v>
      </c>
      <c r="N100" s="206">
        <f t="shared" si="66"/>
        <v>269846.08847714134</v>
      </c>
      <c r="O100" s="206">
        <f t="shared" si="66"/>
        <v>300904.9143069727</v>
      </c>
      <c r="Q100" s="8"/>
      <c r="R100" s="299"/>
      <c r="S100" s="10"/>
      <c r="T100" s="10"/>
    </row>
    <row r="101" spans="2:20" ht="18" customHeight="1" outlineLevel="1" x14ac:dyDescent="0.2">
      <c r="B101" t="s">
        <v>162</v>
      </c>
      <c r="C101" s="106">
        <f t="shared" ref="C101:O101" si="67">SUM(C99:C100)</f>
        <v>72861</v>
      </c>
      <c r="D101" s="106">
        <f t="shared" si="67"/>
        <v>165645</v>
      </c>
      <c r="E101" s="106">
        <f t="shared" si="67"/>
        <v>171092</v>
      </c>
      <c r="F101" s="106">
        <f t="shared" si="67"/>
        <v>181700.99868026157</v>
      </c>
      <c r="G101" s="106">
        <f t="shared" si="67"/>
        <v>186519.18395193928</v>
      </c>
      <c r="H101" s="106">
        <f t="shared" si="67"/>
        <v>201640.23516344232</v>
      </c>
      <c r="I101" s="106">
        <f t="shared" si="67"/>
        <v>212089.2873108706</v>
      </c>
      <c r="J101" s="106">
        <f t="shared" si="67"/>
        <v>231192.26846505859</v>
      </c>
      <c r="K101" s="106">
        <f t="shared" si="67"/>
        <v>250722.72794340155</v>
      </c>
      <c r="L101" s="106">
        <f t="shared" si="67"/>
        <v>274875.71250456822</v>
      </c>
      <c r="M101" s="106">
        <f t="shared" si="67"/>
        <v>300713.02874335629</v>
      </c>
      <c r="N101" s="106">
        <f t="shared" si="67"/>
        <v>326968.85367340356</v>
      </c>
      <c r="O101" s="106">
        <f t="shared" si="67"/>
        <v>356193.2381724398</v>
      </c>
      <c r="Q101" s="8"/>
      <c r="R101" s="299"/>
      <c r="S101" s="10"/>
      <c r="T101" s="10"/>
    </row>
    <row r="102" spans="2:20" ht="18" customHeight="1" outlineLevel="1" x14ac:dyDescent="0.2">
      <c r="B102" s="5" t="s">
        <v>164</v>
      </c>
      <c r="C102" s="211">
        <f t="shared" ref="C102:O102" si="68">C90-C101</f>
        <v>0</v>
      </c>
      <c r="D102" s="211">
        <f t="shared" si="68"/>
        <v>0</v>
      </c>
      <c r="E102" s="211">
        <f t="shared" si="68"/>
        <v>0</v>
      </c>
      <c r="F102" s="211">
        <f t="shared" si="68"/>
        <v>0</v>
      </c>
      <c r="G102" s="211">
        <f t="shared" si="68"/>
        <v>0</v>
      </c>
      <c r="H102" s="211">
        <f t="shared" si="68"/>
        <v>0</v>
      </c>
      <c r="I102" s="211">
        <f t="shared" si="68"/>
        <v>0</v>
      </c>
      <c r="J102" s="211">
        <f t="shared" si="68"/>
        <v>0</v>
      </c>
      <c r="K102" s="211">
        <f t="shared" si="68"/>
        <v>0</v>
      </c>
      <c r="L102" s="211">
        <f t="shared" si="68"/>
        <v>0</v>
      </c>
      <c r="M102" s="211">
        <f t="shared" si="68"/>
        <v>0</v>
      </c>
      <c r="N102" s="211">
        <f t="shared" si="68"/>
        <v>0</v>
      </c>
      <c r="O102" s="211">
        <f t="shared" si="68"/>
        <v>0</v>
      </c>
      <c r="Q102" s="8"/>
      <c r="R102" s="299"/>
      <c r="S102" s="10"/>
      <c r="T102" s="10"/>
    </row>
    <row r="103" spans="2:20" ht="18" customHeight="1" outlineLevel="1" x14ac:dyDescent="0.2">
      <c r="C103" s="65"/>
      <c r="D103" s="65"/>
      <c r="E103" s="65"/>
      <c r="G103" s="65"/>
      <c r="H103" s="65"/>
      <c r="I103" s="65"/>
      <c r="J103" s="65"/>
      <c r="K103" s="65"/>
      <c r="L103" s="65"/>
      <c r="M103" s="65"/>
      <c r="N103" s="65"/>
      <c r="O103" s="65"/>
      <c r="Q103" s="8"/>
      <c r="R103" s="299"/>
      <c r="S103" s="10"/>
      <c r="T103" s="10"/>
    </row>
    <row r="104" spans="2:20" ht="18" customHeight="1" x14ac:dyDescent="0.2">
      <c r="B104" s="2" t="s">
        <v>166</v>
      </c>
      <c r="C104" s="3" t="str">
        <f>C$5</f>
        <v>2023A</v>
      </c>
      <c r="D104" s="3" t="str">
        <f t="shared" ref="D104:O104" si="69">D$5</f>
        <v>2024A</v>
      </c>
      <c r="E104" s="3" t="str">
        <f t="shared" si="69"/>
        <v>2025A</v>
      </c>
      <c r="F104" s="3" t="str">
        <f t="shared" si="69"/>
        <v>2026P</v>
      </c>
      <c r="G104" s="3" t="str">
        <f t="shared" si="69"/>
        <v>2027P</v>
      </c>
      <c r="H104" s="3" t="str">
        <f t="shared" si="69"/>
        <v>2028P</v>
      </c>
      <c r="I104" s="3" t="str">
        <f t="shared" si="69"/>
        <v xml:space="preserve">2029P </v>
      </c>
      <c r="J104" s="3" t="str">
        <f t="shared" si="69"/>
        <v>2030P</v>
      </c>
      <c r="K104" s="3" t="str">
        <f t="shared" si="69"/>
        <v>2031P</v>
      </c>
      <c r="L104" s="3" t="str">
        <f t="shared" si="69"/>
        <v>2032P</v>
      </c>
      <c r="M104" s="3" t="str">
        <f t="shared" si="69"/>
        <v xml:space="preserve">2033P </v>
      </c>
      <c r="N104" s="3" t="str">
        <f t="shared" si="69"/>
        <v>2034P</v>
      </c>
      <c r="O104" s="3" t="str">
        <f t="shared" si="69"/>
        <v>2035P</v>
      </c>
      <c r="Q104" s="8"/>
      <c r="R104" s="299"/>
      <c r="S104" s="10"/>
      <c r="T104" s="10"/>
    </row>
    <row r="105" spans="2:20" ht="18" customHeight="1" outlineLevel="1" x14ac:dyDescent="0.2">
      <c r="B105" t="s">
        <v>64</v>
      </c>
      <c r="C105" s="106">
        <f t="shared" ref="C105:O105" si="70">C32</f>
        <v>14082</v>
      </c>
      <c r="D105" s="106">
        <f t="shared" si="70"/>
        <v>5895</v>
      </c>
      <c r="E105" s="106">
        <f t="shared" si="70"/>
        <v>23126</v>
      </c>
      <c r="F105" s="106">
        <f t="shared" si="70"/>
        <v>19048.508421288632</v>
      </c>
      <c r="G105" s="106">
        <f t="shared" si="70"/>
        <v>25934.281146839799</v>
      </c>
      <c r="H105" s="106">
        <f t="shared" si="70"/>
        <v>32007.89279517292</v>
      </c>
      <c r="I105" s="106">
        <f t="shared" si="70"/>
        <v>39246.673188701359</v>
      </c>
      <c r="J105" s="106">
        <f t="shared" si="70"/>
        <v>44011.941116052272</v>
      </c>
      <c r="K105" s="106">
        <f t="shared" si="70"/>
        <v>48607.644685769192</v>
      </c>
      <c r="L105" s="106">
        <f t="shared" si="70"/>
        <v>53669.100544028079</v>
      </c>
      <c r="M105" s="106">
        <f t="shared" si="70"/>
        <v>57941.180540718997</v>
      </c>
      <c r="N105" s="106">
        <f t="shared" si="70"/>
        <v>60283.563451435257</v>
      </c>
      <c r="O105" s="106">
        <f t="shared" si="70"/>
        <v>62406.910830712703</v>
      </c>
      <c r="Q105" s="8"/>
      <c r="R105" s="9"/>
      <c r="S105" s="10"/>
      <c r="T105" s="10"/>
    </row>
    <row r="106" spans="2:20" ht="18" customHeight="1" outlineLevel="1" x14ac:dyDescent="0.2">
      <c r="B106" t="s">
        <v>169</v>
      </c>
      <c r="C106" s="123">
        <f t="shared" ref="C106:O106" si="71">C22</f>
        <v>3835</v>
      </c>
      <c r="D106" s="123">
        <f t="shared" si="71"/>
        <v>10010</v>
      </c>
      <c r="E106" s="123">
        <f t="shared" si="71"/>
        <v>8775</v>
      </c>
      <c r="F106" s="101">
        <f t="shared" si="71"/>
        <v>8512.5</v>
      </c>
      <c r="G106" s="101">
        <f t="shared" si="71"/>
        <v>7724.6370960057502</v>
      </c>
      <c r="H106" s="101">
        <f t="shared" si="71"/>
        <v>7122.0914296777501</v>
      </c>
      <c r="I106" s="101">
        <f t="shared" si="71"/>
        <v>6760.5713489625496</v>
      </c>
      <c r="J106" s="101">
        <f t="shared" si="71"/>
        <v>6610.7642798603374</v>
      </c>
      <c r="K106" s="101">
        <f t="shared" si="71"/>
        <v>6591.4082004043312</v>
      </c>
      <c r="L106" s="101">
        <f t="shared" si="71"/>
        <v>5930.0566156184032</v>
      </c>
      <c r="M106" s="101">
        <f t="shared" si="71"/>
        <v>5876.3035535691633</v>
      </c>
      <c r="N106" s="101">
        <f t="shared" si="71"/>
        <v>6990.470052135166</v>
      </c>
      <c r="O106" s="101">
        <f t="shared" si="71"/>
        <v>7940.9497837205254</v>
      </c>
      <c r="Q106" s="300"/>
      <c r="R106" s="9"/>
      <c r="S106" s="301"/>
      <c r="T106" s="10"/>
    </row>
    <row r="107" spans="2:20" ht="18" customHeight="1" outlineLevel="1" x14ac:dyDescent="0.25">
      <c r="B107" t="s">
        <v>171</v>
      </c>
      <c r="C107" s="101">
        <f>R125</f>
        <v>2171</v>
      </c>
      <c r="D107" s="101">
        <f t="shared" ref="D107:E107" si="72">S125</f>
        <v>5741</v>
      </c>
      <c r="E107" s="101">
        <f t="shared" si="72"/>
        <v>7568</v>
      </c>
      <c r="F107" s="101">
        <f t="shared" ref="F107:O107" si="73">F20</f>
        <v>7815.0433700000012</v>
      </c>
      <c r="G107" s="101">
        <f t="shared" si="73"/>
        <v>8666.0467217999994</v>
      </c>
      <c r="H107" s="101">
        <f t="shared" si="73"/>
        <v>9254.8804991399993</v>
      </c>
      <c r="I107" s="101">
        <f t="shared" si="73"/>
        <v>10282.244020540198</v>
      </c>
      <c r="J107" s="101">
        <f t="shared" si="73"/>
        <v>11195.11874093022</v>
      </c>
      <c r="K107" s="101">
        <f t="shared" si="73"/>
        <v>11327.510368295385</v>
      </c>
      <c r="L107" s="101">
        <f t="shared" si="73"/>
        <v>12049.05771106238</v>
      </c>
      <c r="M107" s="101">
        <f t="shared" si="73"/>
        <v>11950.840146251194</v>
      </c>
      <c r="N107" s="101">
        <f t="shared" si="73"/>
        <v>12500.406922891278</v>
      </c>
      <c r="O107" s="101">
        <f t="shared" si="73"/>
        <v>12975.715956010605</v>
      </c>
      <c r="Q107" s="302"/>
      <c r="R107" s="300"/>
      <c r="S107" s="300"/>
      <c r="T107" s="303"/>
    </row>
    <row r="108" spans="2:20" ht="18" customHeight="1" outlineLevel="1" x14ac:dyDescent="0.25">
      <c r="B108" t="s">
        <v>476</v>
      </c>
      <c r="C108" s="101">
        <f t="shared" ref="C108:O108" si="74">C23</f>
        <v>0</v>
      </c>
      <c r="D108" s="101">
        <f t="shared" si="74"/>
        <v>0</v>
      </c>
      <c r="E108" s="101">
        <f t="shared" si="74"/>
        <v>0</v>
      </c>
      <c r="F108" s="101">
        <f t="shared" si="74"/>
        <v>0</v>
      </c>
      <c r="G108" s="101">
        <f t="shared" si="74"/>
        <v>0</v>
      </c>
      <c r="H108" s="101">
        <f t="shared" si="74"/>
        <v>0</v>
      </c>
      <c r="I108" s="101">
        <f t="shared" si="74"/>
        <v>0</v>
      </c>
      <c r="J108" s="101">
        <f t="shared" si="74"/>
        <v>0</v>
      </c>
      <c r="K108" s="101">
        <f t="shared" si="74"/>
        <v>0</v>
      </c>
      <c r="L108" s="101">
        <f t="shared" si="74"/>
        <v>0</v>
      </c>
      <c r="M108" s="101">
        <f t="shared" si="74"/>
        <v>0</v>
      </c>
      <c r="N108" s="101">
        <f t="shared" si="74"/>
        <v>0</v>
      </c>
      <c r="O108" s="101">
        <f t="shared" si="74"/>
        <v>0</v>
      </c>
      <c r="Q108" s="302"/>
      <c r="R108" s="300"/>
      <c r="S108" s="300"/>
      <c r="T108" s="303"/>
    </row>
    <row r="109" spans="2:20" ht="18" customHeight="1" outlineLevel="1" x14ac:dyDescent="0.2">
      <c r="B109" t="s">
        <v>469</v>
      </c>
      <c r="C109" s="107">
        <f>-501+9+132</f>
        <v>-360</v>
      </c>
      <c r="D109" s="107">
        <f>1965+157+404+427</f>
        <v>2953</v>
      </c>
      <c r="E109" s="107">
        <f>-4008+138+94+344</f>
        <v>-3432</v>
      </c>
      <c r="F109" s="101"/>
      <c r="G109" s="101"/>
      <c r="H109" s="101"/>
      <c r="I109" s="101"/>
      <c r="J109" s="101"/>
      <c r="K109" s="101"/>
      <c r="L109" s="101"/>
      <c r="M109" s="101"/>
      <c r="N109" s="101"/>
      <c r="O109" s="101"/>
    </row>
    <row r="110" spans="2:20" ht="18" customHeight="1" outlineLevel="1" x14ac:dyDescent="0.2">
      <c r="B110" t="s">
        <v>173</v>
      </c>
      <c r="C110" s="107"/>
      <c r="D110" s="107"/>
      <c r="E110" s="107"/>
      <c r="F110" s="101"/>
      <c r="G110" s="101"/>
      <c r="H110" s="101"/>
      <c r="I110" s="101"/>
      <c r="J110" s="101"/>
      <c r="K110" s="101"/>
      <c r="L110" s="101"/>
      <c r="M110" s="101"/>
      <c r="N110" s="101"/>
      <c r="O110" s="101"/>
    </row>
    <row r="111" spans="2:20" ht="18" customHeight="1" outlineLevel="1" x14ac:dyDescent="0.2">
      <c r="B111" s="100" t="s">
        <v>174</v>
      </c>
      <c r="C111" s="107">
        <v>-187</v>
      </c>
      <c r="D111" s="107">
        <v>2327</v>
      </c>
      <c r="E111" s="107">
        <v>-2717</v>
      </c>
      <c r="F111" s="106">
        <f>-(F147-E147)</f>
        <v>-348.877204109589</v>
      </c>
      <c r="G111" s="106">
        <f t="shared" ref="G111:O112" si="75">-(G147-F147)</f>
        <v>-1253.3941805479444</v>
      </c>
      <c r="H111" s="106">
        <f t="shared" si="75"/>
        <v>-1113.3318868767128</v>
      </c>
      <c r="I111" s="106">
        <f t="shared" si="75"/>
        <v>-1094.6034474583539</v>
      </c>
      <c r="J111" s="106">
        <f t="shared" si="75"/>
        <v>-972.6214676910422</v>
      </c>
      <c r="K111" s="106">
        <f t="shared" si="75"/>
        <v>-850.99092339978961</v>
      </c>
      <c r="L111" s="106">
        <f t="shared" si="75"/>
        <v>-813.99377910861404</v>
      </c>
      <c r="M111" s="106">
        <f t="shared" si="75"/>
        <v>-731.82427241041114</v>
      </c>
      <c r="N111" s="106">
        <f t="shared" si="75"/>
        <v>-658.72730076722655</v>
      </c>
      <c r="O111" s="106">
        <f t="shared" si="75"/>
        <v>-569.71973147864264</v>
      </c>
    </row>
    <row r="112" spans="2:20" ht="18" customHeight="1" outlineLevel="1" x14ac:dyDescent="0.2">
      <c r="B112" s="100" t="s">
        <v>175</v>
      </c>
      <c r="C112" s="107">
        <v>27</v>
      </c>
      <c r="D112" s="107">
        <v>150</v>
      </c>
      <c r="E112" s="107">
        <v>-510</v>
      </c>
      <c r="F112" s="101">
        <f>-(F148-E148)</f>
        <v>-5743.7159356164393</v>
      </c>
      <c r="G112" s="101">
        <f t="shared" si="75"/>
        <v>-1434.4817515068498</v>
      </c>
      <c r="H112" s="101">
        <f t="shared" si="75"/>
        <v>-1323.5290661095878</v>
      </c>
      <c r="I112" s="101">
        <f t="shared" si="75"/>
        <v>-219.53764960298395</v>
      </c>
      <c r="J112" s="101">
        <f t="shared" si="75"/>
        <v>-1041.1882440139943</v>
      </c>
      <c r="K112" s="101">
        <f t="shared" si="75"/>
        <v>-913.92812688153936</v>
      </c>
      <c r="L112" s="101">
        <f t="shared" si="75"/>
        <v>-868.28554796536446</v>
      </c>
      <c r="M112" s="101">
        <f t="shared" si="75"/>
        <v>-789.40042885814</v>
      </c>
      <c r="N112" s="101">
        <f t="shared" si="75"/>
        <v>-703.09404622309194</v>
      </c>
      <c r="O112" s="101">
        <f t="shared" si="75"/>
        <v>-598.32514684922171</v>
      </c>
    </row>
    <row r="113" spans="2:20" ht="18" customHeight="1" outlineLevel="1" x14ac:dyDescent="0.2">
      <c r="B113" s="100" t="s">
        <v>176</v>
      </c>
      <c r="C113" s="107">
        <v>209</v>
      </c>
      <c r="D113" s="107">
        <v>121</v>
      </c>
      <c r="E113" s="107">
        <v>-118</v>
      </c>
      <c r="F113" s="101">
        <f>(F150-E150)</f>
        <v>1004.3890993972605</v>
      </c>
      <c r="G113" s="101">
        <f t="shared" ref="G113:O114" si="76">(G150-F150)</f>
        <v>459.03416048219196</v>
      </c>
      <c r="H113" s="101">
        <f t="shared" si="76"/>
        <v>423.52930115506797</v>
      </c>
      <c r="I113" s="101">
        <f t="shared" si="76"/>
        <v>70.25204787295479</v>
      </c>
      <c r="J113" s="101">
        <f t="shared" si="76"/>
        <v>333.18023808447879</v>
      </c>
      <c r="K113" s="101">
        <f t="shared" si="76"/>
        <v>292.4570006020931</v>
      </c>
      <c r="L113" s="101">
        <f t="shared" si="76"/>
        <v>277.85137534891601</v>
      </c>
      <c r="M113" s="101">
        <f t="shared" si="76"/>
        <v>252.60813723460433</v>
      </c>
      <c r="N113" s="101">
        <f t="shared" si="76"/>
        <v>224.99009479139022</v>
      </c>
      <c r="O113" s="101">
        <f t="shared" si="76"/>
        <v>191.46404699175037</v>
      </c>
      <c r="Q113" s="101"/>
    </row>
    <row r="114" spans="2:20" ht="18" customHeight="1" outlineLevel="1" x14ac:dyDescent="0.2">
      <c r="B114" s="100" t="s">
        <v>177</v>
      </c>
      <c r="C114" s="107">
        <v>-279</v>
      </c>
      <c r="D114" s="107">
        <v>78</v>
      </c>
      <c r="E114" s="107">
        <v>300</v>
      </c>
      <c r="F114" s="101">
        <f>(F151-E151)</f>
        <v>395.25900851000051</v>
      </c>
      <c r="G114" s="101">
        <f t="shared" si="76"/>
        <v>422.19687690199953</v>
      </c>
      <c r="H114" s="101">
        <f t="shared" si="76"/>
        <v>375.01789372380017</v>
      </c>
      <c r="I114" s="101">
        <f t="shared" si="76"/>
        <v>368.70935268029325</v>
      </c>
      <c r="J114" s="101">
        <f t="shared" si="76"/>
        <v>327.62059409553012</v>
      </c>
      <c r="K114" s="101">
        <f t="shared" si="76"/>
        <v>286.65021404062281</v>
      </c>
      <c r="L114" s="101">
        <f t="shared" si="76"/>
        <v>274.18799025145745</v>
      </c>
      <c r="M114" s="101">
        <f t="shared" si="76"/>
        <v>246.50977884521581</v>
      </c>
      <c r="N114" s="101">
        <f t="shared" si="76"/>
        <v>221.88758606843385</v>
      </c>
      <c r="O114" s="101">
        <f t="shared" si="76"/>
        <v>191.9060221219288</v>
      </c>
      <c r="Q114" s="101"/>
    </row>
    <row r="115" spans="2:20" ht="18" customHeight="1" outlineLevel="1" x14ac:dyDescent="0.2">
      <c r="B115" s="100" t="s">
        <v>178</v>
      </c>
      <c r="C115" s="107">
        <f>-628</f>
        <v>-628</v>
      </c>
      <c r="D115" s="107">
        <v>-5323</v>
      </c>
      <c r="E115" s="107">
        <v>-1837</v>
      </c>
      <c r="F115" s="101">
        <f>-(F149-E149)+(F152-E152)</f>
        <v>1976.8867653100015</v>
      </c>
      <c r="G115" s="101">
        <f t="shared" ref="G115:O115" si="77">-(G149-F149)+(G152-F152)</f>
        <v>1258.7479642619992</v>
      </c>
      <c r="H115" s="101">
        <f t="shared" si="77"/>
        <v>1118.0874045078017</v>
      </c>
      <c r="I115" s="101">
        <f t="shared" si="77"/>
        <v>1099.2789678982117</v>
      </c>
      <c r="J115" s="101">
        <f t="shared" si="77"/>
        <v>976.77595081732397</v>
      </c>
      <c r="K115" s="101">
        <f t="shared" si="77"/>
        <v>854.62587034402168</v>
      </c>
      <c r="L115" s="101">
        <f t="shared" si="77"/>
        <v>817.47069539366748</v>
      </c>
      <c r="M115" s="101">
        <f t="shared" si="77"/>
        <v>734.95020751684933</v>
      </c>
      <c r="N115" s="101">
        <f t="shared" si="77"/>
        <v>661.54100738050147</v>
      </c>
      <c r="O115" s="101">
        <f t="shared" si="77"/>
        <v>572.15324861738918</v>
      </c>
    </row>
    <row r="116" spans="2:20" ht="18" customHeight="1" outlineLevel="1" x14ac:dyDescent="0.35">
      <c r="B116" s="122" t="s">
        <v>179</v>
      </c>
      <c r="C116" s="108">
        <v>-785</v>
      </c>
      <c r="D116" s="108">
        <v>-1990</v>
      </c>
      <c r="E116" s="108">
        <v>-3618</v>
      </c>
      <c r="F116" s="102">
        <f t="shared" ref="F116:O116" si="78">-F213+F220</f>
        <v>0</v>
      </c>
      <c r="G116" s="102">
        <f t="shared" si="78"/>
        <v>0</v>
      </c>
      <c r="H116" s="102">
        <f t="shared" si="78"/>
        <v>0</v>
      </c>
      <c r="I116" s="102">
        <f t="shared" si="78"/>
        <v>0</v>
      </c>
      <c r="J116" s="102">
        <f t="shared" si="78"/>
        <v>0</v>
      </c>
      <c r="K116" s="102">
        <f t="shared" si="78"/>
        <v>0</v>
      </c>
      <c r="L116" s="102">
        <f t="shared" si="78"/>
        <v>0</v>
      </c>
      <c r="M116" s="102">
        <f t="shared" si="78"/>
        <v>0</v>
      </c>
      <c r="N116" s="102">
        <f t="shared" si="78"/>
        <v>0</v>
      </c>
      <c r="O116" s="102">
        <f t="shared" si="78"/>
        <v>0</v>
      </c>
    </row>
    <row r="117" spans="2:20" ht="18" customHeight="1" outlineLevel="1" x14ac:dyDescent="0.2">
      <c r="B117" t="s">
        <v>180</v>
      </c>
      <c r="C117" s="101">
        <f t="shared" ref="C117:O117" si="79">SUM(C105:C116)</f>
        <v>18085</v>
      </c>
      <c r="D117" s="101">
        <f t="shared" si="79"/>
        <v>19962</v>
      </c>
      <c r="E117" s="101">
        <f t="shared" si="79"/>
        <v>27537</v>
      </c>
      <c r="F117" s="101">
        <f t="shared" si="79"/>
        <v>32659.993524779871</v>
      </c>
      <c r="G117" s="101">
        <f t="shared" si="79"/>
        <v>41777.06803423696</v>
      </c>
      <c r="H117" s="101">
        <f>SUM(H105:H116)</f>
        <v>47864.638370391047</v>
      </c>
      <c r="I117" s="101">
        <f>SUM(I105:I116)</f>
        <v>56513.587829594224</v>
      </c>
      <c r="J117" s="101">
        <f t="shared" si="79"/>
        <v>61441.591208135127</v>
      </c>
      <c r="K117" s="101">
        <f t="shared" si="79"/>
        <v>66195.377289174314</v>
      </c>
      <c r="L117" s="101">
        <f t="shared" si="79"/>
        <v>71335.445604628927</v>
      </c>
      <c r="M117" s="101">
        <f t="shared" si="79"/>
        <v>75481.16766286749</v>
      </c>
      <c r="N117" s="101">
        <f t="shared" si="79"/>
        <v>79521.037767711678</v>
      </c>
      <c r="O117" s="101">
        <f t="shared" si="79"/>
        <v>83111.055009847041</v>
      </c>
    </row>
    <row r="118" spans="2:20" ht="18" customHeight="1" outlineLevel="1" x14ac:dyDescent="0.2"/>
    <row r="119" spans="2:20" ht="18" customHeight="1" outlineLevel="1" x14ac:dyDescent="0.2">
      <c r="B119" t="s">
        <v>181</v>
      </c>
      <c r="C119" s="107">
        <v>-53</v>
      </c>
      <c r="D119" s="107">
        <v>-25978</v>
      </c>
      <c r="E119" s="107">
        <v>0</v>
      </c>
      <c r="F119" s="101">
        <f t="shared" ref="F119:O119" si="80">F200+F201-F202</f>
        <v>0</v>
      </c>
      <c r="G119" s="101">
        <f t="shared" si="80"/>
        <v>0</v>
      </c>
      <c r="H119" s="101">
        <f t="shared" si="80"/>
        <v>0</v>
      </c>
      <c r="I119" s="101">
        <f t="shared" si="80"/>
        <v>0</v>
      </c>
      <c r="J119" s="101">
        <f t="shared" si="80"/>
        <v>0</v>
      </c>
      <c r="K119" s="101">
        <f t="shared" si="80"/>
        <v>0</v>
      </c>
      <c r="L119" s="101">
        <f t="shared" si="80"/>
        <v>0</v>
      </c>
      <c r="M119" s="101">
        <f t="shared" si="80"/>
        <v>0</v>
      </c>
      <c r="N119" s="101">
        <f t="shared" si="80"/>
        <v>0</v>
      </c>
      <c r="O119" s="101">
        <f t="shared" si="80"/>
        <v>0</v>
      </c>
    </row>
    <row r="120" spans="2:20" ht="18" customHeight="1" outlineLevel="1" x14ac:dyDescent="0.2">
      <c r="B120" t="s">
        <v>182</v>
      </c>
      <c r="C120" s="107">
        <v>0</v>
      </c>
      <c r="D120" s="107">
        <v>3485</v>
      </c>
      <c r="E120" s="107">
        <v>300</v>
      </c>
      <c r="F120" s="101">
        <f t="shared" ref="F120:O120" si="81">-F203</f>
        <v>0</v>
      </c>
      <c r="G120" s="101">
        <f t="shared" si="81"/>
        <v>0</v>
      </c>
      <c r="H120" s="101">
        <f t="shared" si="81"/>
        <v>0</v>
      </c>
      <c r="I120" s="101">
        <f t="shared" si="81"/>
        <v>0</v>
      </c>
      <c r="J120" s="101">
        <f t="shared" si="81"/>
        <v>0</v>
      </c>
      <c r="K120" s="101">
        <f t="shared" si="81"/>
        <v>0</v>
      </c>
      <c r="L120" s="101">
        <f t="shared" si="81"/>
        <v>0</v>
      </c>
      <c r="M120" s="101">
        <f t="shared" si="81"/>
        <v>0</v>
      </c>
      <c r="N120" s="101">
        <f t="shared" si="81"/>
        <v>0</v>
      </c>
      <c r="O120" s="101">
        <f t="shared" si="81"/>
        <v>0</v>
      </c>
    </row>
    <row r="121" spans="2:20" ht="18" customHeight="1" outlineLevel="1" x14ac:dyDescent="0.2">
      <c r="B121" t="s">
        <v>183</v>
      </c>
      <c r="C121" s="107">
        <v>-452</v>
      </c>
      <c r="D121" s="107">
        <v>-548</v>
      </c>
      <c r="E121" s="107">
        <v>-623</v>
      </c>
      <c r="F121" s="101">
        <f>-F192</f>
        <v>-1563.0086740000002</v>
      </c>
      <c r="G121" s="101">
        <f t="shared" ref="G121:O121" si="82">-G192</f>
        <v>-2736.6463331999998</v>
      </c>
      <c r="H121" s="101">
        <f t="shared" si="82"/>
        <v>-4113.2802218400002</v>
      </c>
      <c r="I121" s="101">
        <f t="shared" si="82"/>
        <v>-4569.8862313511991</v>
      </c>
      <c r="J121" s="101">
        <f t="shared" si="82"/>
        <v>-6219.5104116278999</v>
      </c>
      <c r="K121" s="101">
        <f t="shared" si="82"/>
        <v>-6663.2413931149322</v>
      </c>
      <c r="L121" s="101">
        <f t="shared" si="82"/>
        <v>-7087.6810065072823</v>
      </c>
      <c r="M121" s="101">
        <f t="shared" si="82"/>
        <v>-8963.1301096883944</v>
      </c>
      <c r="N121" s="101">
        <f t="shared" si="82"/>
        <v>-9375.3051921684582</v>
      </c>
      <c r="O121" s="101">
        <f t="shared" si="82"/>
        <v>-9731.7869670079526</v>
      </c>
      <c r="Q121" s="5" t="s">
        <v>184</v>
      </c>
      <c r="R121" s="5"/>
      <c r="S121" s="5"/>
      <c r="T121" s="5"/>
    </row>
    <row r="122" spans="2:20" ht="18" customHeight="1" outlineLevel="1" x14ac:dyDescent="0.2">
      <c r="B122" t="s">
        <v>185</v>
      </c>
      <c r="C122" s="107"/>
      <c r="D122" s="107"/>
      <c r="E122" s="107"/>
      <c r="F122" s="101">
        <f t="shared" ref="F122:O122" si="83">-F42</f>
        <v>-605.66586117500015</v>
      </c>
      <c r="G122" s="101">
        <f t="shared" si="83"/>
        <v>-684.16158330000007</v>
      </c>
      <c r="H122" s="101">
        <f t="shared" si="83"/>
        <v>-771.24004159500009</v>
      </c>
      <c r="I122" s="101">
        <f t="shared" si="83"/>
        <v>-856.85366837834977</v>
      </c>
      <c r="J122" s="101">
        <f t="shared" si="83"/>
        <v>-932.92656174418505</v>
      </c>
      <c r="K122" s="101">
        <f t="shared" si="83"/>
        <v>-999.48620896723969</v>
      </c>
      <c r="L122" s="101">
        <f t="shared" si="83"/>
        <v>-1063.1521509760921</v>
      </c>
      <c r="M122" s="101">
        <f t="shared" si="83"/>
        <v>-1120.3912637110493</v>
      </c>
      <c r="N122" s="101">
        <f t="shared" si="83"/>
        <v>-1171.9131490210573</v>
      </c>
      <c r="O122" s="101">
        <f t="shared" si="83"/>
        <v>-1216.4733708759941</v>
      </c>
      <c r="R122" s="220" t="str">
        <f>C133</f>
        <v>2023A</v>
      </c>
      <c r="S122" s="220" t="str">
        <f>D133</f>
        <v>2024A</v>
      </c>
      <c r="T122" s="220" t="str">
        <f>E133</f>
        <v>2025A</v>
      </c>
    </row>
    <row r="123" spans="2:20" ht="18" customHeight="1" outlineLevel="1" x14ac:dyDescent="0.2">
      <c r="B123" t="s">
        <v>470</v>
      </c>
      <c r="C123" s="107">
        <f>-66+228-346</f>
        <v>-184</v>
      </c>
      <c r="D123" s="107">
        <f>-10+156-175</f>
        <v>-29</v>
      </c>
      <c r="E123" s="107">
        <f>92+248-597</f>
        <v>-257</v>
      </c>
      <c r="F123" s="264"/>
      <c r="G123" s="264"/>
      <c r="H123" s="264"/>
      <c r="I123" s="264"/>
      <c r="J123" s="264"/>
      <c r="K123" s="264"/>
      <c r="L123" s="264"/>
      <c r="M123" s="264"/>
      <c r="N123" s="264"/>
      <c r="O123" s="264"/>
      <c r="Q123" t="s">
        <v>186</v>
      </c>
      <c r="R123" s="101">
        <f>C20</f>
        <v>2171</v>
      </c>
      <c r="S123" s="101">
        <f>D20</f>
        <v>5670</v>
      </c>
      <c r="T123" s="101">
        <f>E20</f>
        <v>7568</v>
      </c>
    </row>
    <row r="124" spans="2:20" ht="18" customHeight="1" outlineLevel="1" x14ac:dyDescent="0.2">
      <c r="B124" t="s">
        <v>187</v>
      </c>
      <c r="C124" s="123">
        <f t="shared" ref="C124:O124" si="84">SUM(C119:C123)</f>
        <v>-689</v>
      </c>
      <c r="D124" s="123">
        <f t="shared" si="84"/>
        <v>-23070</v>
      </c>
      <c r="E124" s="123">
        <f t="shared" si="84"/>
        <v>-580</v>
      </c>
      <c r="F124" s="123">
        <f>SUM(F119:F123)</f>
        <v>-2168.6745351750005</v>
      </c>
      <c r="G124" s="123">
        <f t="shared" si="84"/>
        <v>-3420.8079164999999</v>
      </c>
      <c r="H124" s="123">
        <f t="shared" si="84"/>
        <v>-4884.5202634350007</v>
      </c>
      <c r="I124" s="123">
        <f t="shared" si="84"/>
        <v>-5426.7398997295486</v>
      </c>
      <c r="J124" s="123">
        <f t="shared" si="84"/>
        <v>-7152.436973372085</v>
      </c>
      <c r="K124" s="123">
        <f t="shared" si="84"/>
        <v>-7662.7276020821719</v>
      </c>
      <c r="L124" s="123">
        <f t="shared" si="84"/>
        <v>-8150.8331574833746</v>
      </c>
      <c r="M124" s="123">
        <f t="shared" si="84"/>
        <v>-10083.521373399444</v>
      </c>
      <c r="N124" s="123">
        <f t="shared" si="84"/>
        <v>-10547.218341189515</v>
      </c>
      <c r="O124" s="123">
        <f t="shared" si="84"/>
        <v>-10948.260337883947</v>
      </c>
      <c r="Q124" t="s">
        <v>188</v>
      </c>
      <c r="R124" s="101">
        <f>-C70</f>
        <v>0</v>
      </c>
      <c r="S124" s="101">
        <f t="shared" ref="S124:T124" si="85">-D70</f>
        <v>71</v>
      </c>
      <c r="T124" s="101">
        <f t="shared" si="85"/>
        <v>0</v>
      </c>
    </row>
    <row r="125" spans="2:20" ht="18" customHeight="1" outlineLevel="1" x14ac:dyDescent="0.2">
      <c r="B125" t="s">
        <v>189</v>
      </c>
      <c r="C125" s="123">
        <f>-C136</f>
        <v>715</v>
      </c>
      <c r="D125" s="123">
        <f t="shared" ref="D125:O125" si="86">-D136</f>
        <v>479</v>
      </c>
      <c r="E125" s="123">
        <f t="shared" si="86"/>
        <v>-1068</v>
      </c>
      <c r="F125" s="123">
        <f t="shared" si="86"/>
        <v>-11027.064778960557</v>
      </c>
      <c r="G125" s="123">
        <f t="shared" si="86"/>
        <v>-5397.7767328486589</v>
      </c>
      <c r="H125" s="123">
        <f t="shared" si="86"/>
        <v>-14066.013853466127</v>
      </c>
      <c r="I125" s="123">
        <f t="shared" si="86"/>
        <v>-9631.1111398529538</v>
      </c>
      <c r="J125" s="123">
        <f t="shared" si="86"/>
        <v>-15810.706032094822</v>
      </c>
      <c r="K125" s="123">
        <f t="shared" si="86"/>
        <v>-16048.445109919077</v>
      </c>
      <c r="L125" s="123">
        <f t="shared" si="86"/>
        <v>-19591.60714793011</v>
      </c>
      <c r="M125" s="123">
        <f t="shared" si="86"/>
        <v>-19529.996992072593</v>
      </c>
      <c r="N125" s="123">
        <f t="shared" si="86"/>
        <v>-20811.859528232773</v>
      </c>
      <c r="O125" s="123">
        <f t="shared" si="86"/>
        <v>-24588.993715071112</v>
      </c>
      <c r="Q125" t="s">
        <v>190</v>
      </c>
      <c r="R125" s="101">
        <f>SUM(R123:R124)</f>
        <v>2171</v>
      </c>
      <c r="S125" s="101">
        <f t="shared" ref="S125:T125" si="87">SUM(S123:S124)</f>
        <v>5741</v>
      </c>
      <c r="T125" s="101">
        <f t="shared" si="87"/>
        <v>7568</v>
      </c>
    </row>
    <row r="126" spans="2:20" ht="18" customHeight="1" outlineLevel="1" x14ac:dyDescent="0.2">
      <c r="C126" s="123"/>
      <c r="D126" s="123"/>
      <c r="E126" s="123"/>
      <c r="F126" s="123"/>
      <c r="G126" s="123"/>
      <c r="H126" s="123"/>
      <c r="I126" s="123"/>
      <c r="J126" s="123"/>
      <c r="K126" s="123"/>
      <c r="L126" s="123"/>
      <c r="M126" s="123"/>
      <c r="N126" s="123"/>
      <c r="O126" s="123"/>
    </row>
    <row r="127" spans="2:20" ht="18" customHeight="1" outlineLevel="1" thickBot="1" x14ac:dyDescent="0.4">
      <c r="B127" t="s">
        <v>191</v>
      </c>
      <c r="C127" s="108">
        <f>0-403-7645-5824-1861+122-12</f>
        <v>-15623</v>
      </c>
      <c r="D127" s="108">
        <f>39954-19608-9814-7176-5216+190-63</f>
        <v>-1733</v>
      </c>
      <c r="E127" s="108">
        <f>15666-18478-11142-2450-3860+221-84</f>
        <v>-20127</v>
      </c>
      <c r="F127" s="275">
        <f t="shared" ref="F127:O127" si="88">F224+F230+F235+F236+F242+F243+F259+F262+F244</f>
        <v>-19464.254210644314</v>
      </c>
      <c r="G127" s="275">
        <f t="shared" si="88"/>
        <v>-32958.483384888299</v>
      </c>
      <c r="H127" s="275">
        <f t="shared" si="88"/>
        <v>-28914.104253489921</v>
      </c>
      <c r="I127" s="275">
        <f t="shared" si="88"/>
        <v>-41455.736790011724</v>
      </c>
      <c r="J127" s="275">
        <f t="shared" si="88"/>
        <v>-38478.448202668224</v>
      </c>
      <c r="K127" s="275">
        <f t="shared" si="88"/>
        <v>-42484.204577173063</v>
      </c>
      <c r="L127" s="275">
        <f t="shared" si="88"/>
        <v>-43593.005299215445</v>
      </c>
      <c r="M127" s="275">
        <f t="shared" si="88"/>
        <v>-45867.649297395452</v>
      </c>
      <c r="N127" s="275">
        <f t="shared" si="88"/>
        <v>-48161.959898289395</v>
      </c>
      <c r="O127" s="275">
        <f t="shared" si="88"/>
        <v>-47573.800956891988</v>
      </c>
    </row>
    <row r="128" spans="2:20" ht="18" customHeight="1" outlineLevel="1" thickBot="1" x14ac:dyDescent="0.25">
      <c r="B128" s="271" t="s">
        <v>445</v>
      </c>
      <c r="C128" s="272">
        <f t="shared" ref="C128:O128" si="89">C117+C124+C127+C125</f>
        <v>2488</v>
      </c>
      <c r="D128" s="272">
        <f t="shared" si="89"/>
        <v>-4362</v>
      </c>
      <c r="E128" s="272">
        <f t="shared" si="89"/>
        <v>5762</v>
      </c>
      <c r="F128" s="272">
        <f>F117+F124+F127+F125</f>
        <v>0</v>
      </c>
      <c r="G128" s="272">
        <f t="shared" si="89"/>
        <v>0</v>
      </c>
      <c r="H128" s="272">
        <f t="shared" si="89"/>
        <v>0</v>
      </c>
      <c r="I128" s="272">
        <f t="shared" si="89"/>
        <v>0</v>
      </c>
      <c r="J128" s="272">
        <f t="shared" si="89"/>
        <v>0</v>
      </c>
      <c r="K128" s="272">
        <f t="shared" si="89"/>
        <v>0</v>
      </c>
      <c r="L128" s="272">
        <f t="shared" si="89"/>
        <v>0</v>
      </c>
      <c r="M128" s="272">
        <f t="shared" si="89"/>
        <v>0</v>
      </c>
      <c r="N128" s="272">
        <f t="shared" si="89"/>
        <v>0</v>
      </c>
      <c r="O128" s="273">
        <f t="shared" si="89"/>
        <v>0</v>
      </c>
    </row>
    <row r="129" spans="1:21" ht="18" customHeight="1" outlineLevel="1" x14ac:dyDescent="0.2">
      <c r="B129" s="168" t="s">
        <v>192</v>
      </c>
      <c r="C129" s="107">
        <v>10051</v>
      </c>
      <c r="D129" s="101">
        <f>C131</f>
        <v>12539</v>
      </c>
      <c r="E129" s="101">
        <f t="shared" ref="E129:O129" si="90">D131</f>
        <v>8177</v>
      </c>
      <c r="F129" s="101">
        <f t="shared" si="90"/>
        <v>13939</v>
      </c>
      <c r="G129" s="101">
        <f t="shared" si="90"/>
        <v>13939</v>
      </c>
      <c r="H129" s="101">
        <f t="shared" si="90"/>
        <v>13939</v>
      </c>
      <c r="I129" s="101">
        <f t="shared" si="90"/>
        <v>13939</v>
      </c>
      <c r="J129" s="101">
        <f t="shared" si="90"/>
        <v>13939</v>
      </c>
      <c r="K129" s="101">
        <f t="shared" si="90"/>
        <v>13939</v>
      </c>
      <c r="L129" s="101">
        <f t="shared" si="90"/>
        <v>13939</v>
      </c>
      <c r="M129" s="101">
        <f t="shared" si="90"/>
        <v>13939</v>
      </c>
      <c r="N129" s="101">
        <f t="shared" si="90"/>
        <v>13939</v>
      </c>
      <c r="O129" s="268">
        <f t="shared" si="90"/>
        <v>13939</v>
      </c>
    </row>
    <row r="130" spans="1:21" s="1" customFormat="1" ht="18" customHeight="1" outlineLevel="1" x14ac:dyDescent="0.2">
      <c r="A130"/>
      <c r="B130" s="168" t="s">
        <v>446</v>
      </c>
      <c r="C130" s="107">
        <f>C128</f>
        <v>2488</v>
      </c>
      <c r="D130" s="107">
        <f t="shared" ref="D130:O130" si="91">D128</f>
        <v>-4362</v>
      </c>
      <c r="E130" s="107">
        <f t="shared" si="91"/>
        <v>5762</v>
      </c>
      <c r="F130" s="107">
        <f t="shared" si="91"/>
        <v>0</v>
      </c>
      <c r="G130" s="107">
        <f t="shared" si="91"/>
        <v>0</v>
      </c>
      <c r="H130" s="107">
        <f t="shared" si="91"/>
        <v>0</v>
      </c>
      <c r="I130" s="107">
        <f t="shared" si="91"/>
        <v>0</v>
      </c>
      <c r="J130" s="107">
        <f t="shared" si="91"/>
        <v>0</v>
      </c>
      <c r="K130" s="107">
        <f t="shared" si="91"/>
        <v>0</v>
      </c>
      <c r="L130" s="107">
        <f t="shared" si="91"/>
        <v>0</v>
      </c>
      <c r="M130" s="107">
        <f t="shared" si="91"/>
        <v>0</v>
      </c>
      <c r="N130" s="107">
        <f t="shared" si="91"/>
        <v>0</v>
      </c>
      <c r="O130" s="274">
        <f t="shared" si="91"/>
        <v>0</v>
      </c>
      <c r="Q130"/>
      <c r="R130"/>
      <c r="S130"/>
      <c r="T130"/>
      <c r="U130"/>
    </row>
    <row r="131" spans="1:21" s="1" customFormat="1" ht="18" customHeight="1" outlineLevel="1" thickBot="1" x14ac:dyDescent="0.25">
      <c r="A131"/>
      <c r="B131" s="269" t="s">
        <v>193</v>
      </c>
      <c r="C131" s="215">
        <f>SUM(C129:C130)</f>
        <v>12539</v>
      </c>
      <c r="D131" s="215">
        <f t="shared" ref="D131:O131" si="92">SUM(D129:D130)</f>
        <v>8177</v>
      </c>
      <c r="E131" s="215">
        <f t="shared" si="92"/>
        <v>13939</v>
      </c>
      <c r="F131" s="215">
        <f t="shared" si="92"/>
        <v>13939</v>
      </c>
      <c r="G131" s="215">
        <f t="shared" si="92"/>
        <v>13939</v>
      </c>
      <c r="H131" s="215">
        <f t="shared" si="92"/>
        <v>13939</v>
      </c>
      <c r="I131" s="215">
        <f t="shared" si="92"/>
        <v>13939</v>
      </c>
      <c r="J131" s="215">
        <f t="shared" si="92"/>
        <v>13939</v>
      </c>
      <c r="K131" s="215">
        <f t="shared" si="92"/>
        <v>13939</v>
      </c>
      <c r="L131" s="215">
        <f t="shared" si="92"/>
        <v>13939</v>
      </c>
      <c r="M131" s="215">
        <f t="shared" si="92"/>
        <v>13939</v>
      </c>
      <c r="N131" s="215">
        <f t="shared" si="92"/>
        <v>13939</v>
      </c>
      <c r="O131" s="270">
        <f t="shared" si="92"/>
        <v>13939</v>
      </c>
      <c r="Q131"/>
      <c r="R131"/>
      <c r="S131"/>
      <c r="T131"/>
      <c r="U131"/>
    </row>
    <row r="132" spans="1:21" s="1" customFormat="1" ht="18" customHeight="1" outlineLevel="1" x14ac:dyDescent="0.2">
      <c r="A132"/>
      <c r="B132"/>
      <c r="C132"/>
      <c r="D132"/>
      <c r="E132"/>
      <c r="F132"/>
      <c r="G132"/>
      <c r="H132"/>
      <c r="I132"/>
      <c r="J132"/>
      <c r="K132"/>
      <c r="L132"/>
      <c r="M132"/>
      <c r="N132"/>
      <c r="O132"/>
      <c r="Q132"/>
      <c r="R132"/>
      <c r="S132"/>
      <c r="T132"/>
      <c r="U132"/>
    </row>
    <row r="133" spans="1:21" s="1" customFormat="1" ht="18" customHeight="1" x14ac:dyDescent="0.2">
      <c r="A133"/>
      <c r="B133" s="2" t="s">
        <v>194</v>
      </c>
      <c r="C133" s="3" t="str">
        <f>C$5</f>
        <v>2023A</v>
      </c>
      <c r="D133" s="3" t="str">
        <f t="shared" ref="D133:O134" si="93">D$5</f>
        <v>2024A</v>
      </c>
      <c r="E133" s="3" t="str">
        <f t="shared" si="93"/>
        <v>2025A</v>
      </c>
      <c r="F133" s="3" t="str">
        <f t="shared" si="93"/>
        <v>2026P</v>
      </c>
      <c r="G133" s="3" t="str">
        <f t="shared" si="93"/>
        <v>2027P</v>
      </c>
      <c r="H133" s="3" t="str">
        <f t="shared" si="93"/>
        <v>2028P</v>
      </c>
      <c r="I133" s="3" t="str">
        <f t="shared" si="93"/>
        <v xml:space="preserve">2029P </v>
      </c>
      <c r="J133" s="3" t="str">
        <f t="shared" si="93"/>
        <v>2030P</v>
      </c>
      <c r="K133" s="3" t="str">
        <f t="shared" si="93"/>
        <v>2031P</v>
      </c>
      <c r="L133" s="3" t="str">
        <f t="shared" si="93"/>
        <v>2032P</v>
      </c>
      <c r="M133" s="3" t="str">
        <f t="shared" si="93"/>
        <v xml:space="preserve">2033P </v>
      </c>
      <c r="N133" s="3" t="str">
        <f t="shared" si="93"/>
        <v>2034P</v>
      </c>
      <c r="O133" s="3" t="str">
        <f t="shared" si="93"/>
        <v>2035P</v>
      </c>
      <c r="Q133"/>
      <c r="R133"/>
      <c r="S133"/>
      <c r="T133"/>
      <c r="U133"/>
    </row>
    <row r="134" spans="1:21" s="1" customFormat="1" ht="18" customHeight="1" x14ac:dyDescent="0.2">
      <c r="A134"/>
      <c r="B134" s="109" t="s">
        <v>125</v>
      </c>
      <c r="C134" s="116" t="str">
        <f>C$5</f>
        <v>2023A</v>
      </c>
      <c r="D134" s="116" t="str">
        <f t="shared" si="93"/>
        <v>2024A</v>
      </c>
      <c r="E134" s="116" t="str">
        <f t="shared" si="93"/>
        <v>2025A</v>
      </c>
      <c r="F134" s="116" t="str">
        <f t="shared" si="93"/>
        <v>2026P</v>
      </c>
      <c r="G134" s="116" t="str">
        <f t="shared" si="93"/>
        <v>2027P</v>
      </c>
      <c r="H134" s="116" t="str">
        <f t="shared" si="93"/>
        <v>2028P</v>
      </c>
      <c r="I134" s="116" t="str">
        <f t="shared" si="93"/>
        <v xml:space="preserve">2029P </v>
      </c>
      <c r="J134" s="116" t="str">
        <f t="shared" si="93"/>
        <v>2030P</v>
      </c>
      <c r="K134" s="116" t="str">
        <f t="shared" si="93"/>
        <v>2031P</v>
      </c>
      <c r="L134" s="116" t="str">
        <f t="shared" si="93"/>
        <v>2032P</v>
      </c>
      <c r="M134" s="116" t="str">
        <f t="shared" si="93"/>
        <v xml:space="preserve">2033P </v>
      </c>
      <c r="N134" s="116" t="str">
        <f t="shared" si="93"/>
        <v>2034P</v>
      </c>
      <c r="O134" s="116" t="str">
        <f t="shared" si="93"/>
        <v>2035P</v>
      </c>
      <c r="Q134"/>
      <c r="R134"/>
      <c r="S134"/>
      <c r="T134"/>
      <c r="U134"/>
    </row>
    <row r="135" spans="1:21" s="1" customFormat="1" ht="18" customHeight="1" outlineLevel="1" x14ac:dyDescent="0.2">
      <c r="A135"/>
      <c r="B135" s="100" t="s">
        <v>195</v>
      </c>
      <c r="C135" s="107">
        <v>2365</v>
      </c>
      <c r="D135" s="101">
        <f>C137</f>
        <v>1650</v>
      </c>
      <c r="E135" s="101">
        <f>D137</f>
        <v>1171</v>
      </c>
      <c r="F135" s="101">
        <f t="shared" ref="F135:O135" si="94">E137</f>
        <v>2239</v>
      </c>
      <c r="G135" s="101">
        <f>F137</f>
        <v>13266.064778960557</v>
      </c>
      <c r="H135" s="101">
        <f t="shared" si="94"/>
        <v>18663.841511809216</v>
      </c>
      <c r="I135" s="101">
        <f t="shared" si="94"/>
        <v>32729.855365275344</v>
      </c>
      <c r="J135" s="101">
        <f t="shared" si="94"/>
        <v>42360.966505128294</v>
      </c>
      <c r="K135" s="101">
        <f t="shared" si="94"/>
        <v>58171.672537223116</v>
      </c>
      <c r="L135" s="101">
        <f t="shared" si="94"/>
        <v>74220.117647142193</v>
      </c>
      <c r="M135" s="101">
        <f t="shared" si="94"/>
        <v>93811.72479507231</v>
      </c>
      <c r="N135" s="101">
        <f t="shared" si="94"/>
        <v>113341.7217871449</v>
      </c>
      <c r="O135" s="101">
        <f t="shared" si="94"/>
        <v>134153.58131537767</v>
      </c>
      <c r="Q135"/>
      <c r="R135"/>
      <c r="S135"/>
      <c r="T135"/>
      <c r="U135"/>
    </row>
    <row r="136" spans="1:21" s="1" customFormat="1" ht="18" customHeight="1" outlineLevel="1" x14ac:dyDescent="0.35">
      <c r="A136"/>
      <c r="B136" s="100" t="s">
        <v>196</v>
      </c>
      <c r="C136" s="102">
        <f>C137-C135</f>
        <v>-715</v>
      </c>
      <c r="D136" s="102">
        <f>D137-D135</f>
        <v>-479</v>
      </c>
      <c r="E136" s="102">
        <f>E137-E135</f>
        <v>1068</v>
      </c>
      <c r="F136" s="102">
        <f>IF(AND(F140&gt;F139,F142&gt;0),F142,0)</f>
        <v>11027.064778960557</v>
      </c>
      <c r="G136" s="102">
        <f t="shared" ref="G136:O136" si="95">IF(AND(G140&gt;G139,G142&gt;0),G142,0)</f>
        <v>5397.7767328486589</v>
      </c>
      <c r="H136" s="102">
        <f t="shared" si="95"/>
        <v>14066.013853466127</v>
      </c>
      <c r="I136" s="102">
        <f t="shared" si="95"/>
        <v>9631.1111398529538</v>
      </c>
      <c r="J136" s="102">
        <f t="shared" si="95"/>
        <v>15810.706032094822</v>
      </c>
      <c r="K136" s="102">
        <f t="shared" si="95"/>
        <v>16048.445109919077</v>
      </c>
      <c r="L136" s="102">
        <f t="shared" si="95"/>
        <v>19591.60714793011</v>
      </c>
      <c r="M136" s="102">
        <f t="shared" si="95"/>
        <v>19529.996992072593</v>
      </c>
      <c r="N136" s="102">
        <f t="shared" si="95"/>
        <v>20811.859528232773</v>
      </c>
      <c r="O136" s="102">
        <f t="shared" si="95"/>
        <v>24588.993715071112</v>
      </c>
      <c r="Q136"/>
      <c r="R136"/>
      <c r="S136"/>
      <c r="T136"/>
      <c r="U136"/>
    </row>
    <row r="137" spans="1:21" s="1" customFormat="1" ht="18" customHeight="1" outlineLevel="1" x14ac:dyDescent="0.2">
      <c r="A137"/>
      <c r="B137" s="100" t="s">
        <v>197</v>
      </c>
      <c r="C137" s="107">
        <v>1650</v>
      </c>
      <c r="D137" s="107">
        <v>1171</v>
      </c>
      <c r="E137" s="107">
        <v>2239</v>
      </c>
      <c r="F137" s="101">
        <f>F136+F135</f>
        <v>13266.064778960557</v>
      </c>
      <c r="G137" s="101">
        <f t="shared" ref="G137:O137" si="96">G136+G135</f>
        <v>18663.841511809216</v>
      </c>
      <c r="H137" s="101">
        <f t="shared" si="96"/>
        <v>32729.855365275344</v>
      </c>
      <c r="I137" s="101">
        <f t="shared" si="96"/>
        <v>42360.966505128294</v>
      </c>
      <c r="J137" s="101">
        <f t="shared" si="96"/>
        <v>58171.672537223116</v>
      </c>
      <c r="K137" s="101">
        <f t="shared" si="96"/>
        <v>74220.117647142193</v>
      </c>
      <c r="L137" s="101">
        <f t="shared" si="96"/>
        <v>93811.72479507231</v>
      </c>
      <c r="M137" s="101">
        <f t="shared" si="96"/>
        <v>113341.7217871449</v>
      </c>
      <c r="N137" s="101">
        <f t="shared" si="96"/>
        <v>134153.58131537767</v>
      </c>
      <c r="O137" s="101">
        <f t="shared" si="96"/>
        <v>158742.57503044879</v>
      </c>
      <c r="Q137"/>
      <c r="R137"/>
      <c r="S137"/>
      <c r="T137"/>
      <c r="U137"/>
    </row>
    <row r="138" spans="1:21" s="1" customFormat="1" ht="18" customHeight="1" outlineLevel="1" x14ac:dyDescent="0.2">
      <c r="A138"/>
      <c r="B138" s="100"/>
      <c r="C138"/>
      <c r="D138" s="107"/>
      <c r="E138" s="107"/>
      <c r="F138" s="107"/>
      <c r="G138" s="107"/>
      <c r="H138" s="107"/>
      <c r="I138" s="107"/>
      <c r="J138" s="107"/>
      <c r="K138" s="107"/>
      <c r="L138" s="107"/>
      <c r="M138" s="107"/>
      <c r="N138" s="107"/>
      <c r="O138" s="107"/>
      <c r="Q138"/>
      <c r="R138"/>
      <c r="S138"/>
      <c r="T138"/>
      <c r="U138"/>
    </row>
    <row r="139" spans="1:21" s="1" customFormat="1" ht="18" customHeight="1" outlineLevel="1" x14ac:dyDescent="0.2">
      <c r="A139"/>
      <c r="B139" s="100" t="s">
        <v>198</v>
      </c>
      <c r="C139" s="107"/>
      <c r="D139" s="107"/>
      <c r="E139" s="107"/>
      <c r="F139" s="114">
        <v>10000</v>
      </c>
      <c r="G139" s="114">
        <v>10000</v>
      </c>
      <c r="H139" s="114">
        <v>10000</v>
      </c>
      <c r="I139" s="114">
        <v>10000</v>
      </c>
      <c r="J139" s="114">
        <v>10000</v>
      </c>
      <c r="K139" s="114">
        <v>10000</v>
      </c>
      <c r="L139" s="114">
        <v>10000</v>
      </c>
      <c r="M139" s="114">
        <v>10000</v>
      </c>
      <c r="N139" s="114">
        <v>10000</v>
      </c>
      <c r="O139" s="114">
        <v>10000</v>
      </c>
      <c r="Q139"/>
      <c r="R139"/>
      <c r="S139"/>
      <c r="T139"/>
      <c r="U139"/>
    </row>
    <row r="140" spans="1:21" s="1" customFormat="1" ht="18" customHeight="1" outlineLevel="1" x14ac:dyDescent="0.2">
      <c r="A140"/>
      <c r="B140" s="100" t="s">
        <v>192</v>
      </c>
      <c r="C140" s="101">
        <f>C129</f>
        <v>10051</v>
      </c>
      <c r="D140" s="101">
        <f t="shared" ref="D140:O140" si="97">D129</f>
        <v>12539</v>
      </c>
      <c r="E140" s="101">
        <f t="shared" si="97"/>
        <v>8177</v>
      </c>
      <c r="F140" s="101">
        <f t="shared" si="97"/>
        <v>13939</v>
      </c>
      <c r="G140" s="101">
        <f t="shared" si="97"/>
        <v>13939</v>
      </c>
      <c r="H140" s="101">
        <f t="shared" si="97"/>
        <v>13939</v>
      </c>
      <c r="I140" s="101">
        <f t="shared" si="97"/>
        <v>13939</v>
      </c>
      <c r="J140" s="101">
        <f t="shared" si="97"/>
        <v>13939</v>
      </c>
      <c r="K140" s="101">
        <f t="shared" si="97"/>
        <v>13939</v>
      </c>
      <c r="L140" s="101">
        <f t="shared" si="97"/>
        <v>13939</v>
      </c>
      <c r="M140" s="101">
        <f t="shared" si="97"/>
        <v>13939</v>
      </c>
      <c r="N140" s="101">
        <f t="shared" si="97"/>
        <v>13939</v>
      </c>
      <c r="O140" s="101">
        <f t="shared" si="97"/>
        <v>13939</v>
      </c>
      <c r="Q140"/>
      <c r="R140"/>
      <c r="S140"/>
      <c r="T140"/>
      <c r="U140"/>
    </row>
    <row r="141" spans="1:21" s="1" customFormat="1" ht="18" customHeight="1" outlineLevel="1" x14ac:dyDescent="0.2">
      <c r="A141"/>
      <c r="B141" s="100" t="s">
        <v>193</v>
      </c>
      <c r="C141" s="101">
        <f>C131</f>
        <v>12539</v>
      </c>
      <c r="D141" s="101">
        <f>D131</f>
        <v>8177</v>
      </c>
      <c r="E141" s="101">
        <f>E131</f>
        <v>13939</v>
      </c>
      <c r="F141" s="101">
        <f t="shared" ref="F141:O141" si="98">F131</f>
        <v>13939</v>
      </c>
      <c r="G141" s="101">
        <f t="shared" si="98"/>
        <v>13939</v>
      </c>
      <c r="H141" s="101">
        <f t="shared" si="98"/>
        <v>13939</v>
      </c>
      <c r="I141" s="101">
        <f t="shared" si="98"/>
        <v>13939</v>
      </c>
      <c r="J141" s="101">
        <f t="shared" si="98"/>
        <v>13939</v>
      </c>
      <c r="K141" s="101">
        <f t="shared" si="98"/>
        <v>13939</v>
      </c>
      <c r="L141" s="101">
        <f t="shared" si="98"/>
        <v>13939</v>
      </c>
      <c r="M141" s="101">
        <f t="shared" si="98"/>
        <v>13939</v>
      </c>
      <c r="N141" s="101">
        <f t="shared" si="98"/>
        <v>13939</v>
      </c>
      <c r="O141" s="101">
        <f t="shared" si="98"/>
        <v>13939</v>
      </c>
      <c r="Q141"/>
      <c r="R141"/>
      <c r="S141"/>
      <c r="T141"/>
      <c r="U141"/>
    </row>
    <row r="142" spans="1:21" s="1" customFormat="1" ht="18" customHeight="1" outlineLevel="1" x14ac:dyDescent="0.2">
      <c r="A142"/>
      <c r="B142" s="100" t="s">
        <v>199</v>
      </c>
      <c r="C142" s="101">
        <f>C117+C124+C127</f>
        <v>1773</v>
      </c>
      <c r="D142" s="101">
        <f t="shared" ref="D142:O142" si="99">D117+D124+D127</f>
        <v>-4841</v>
      </c>
      <c r="E142" s="101">
        <f t="shared" si="99"/>
        <v>6830</v>
      </c>
      <c r="F142" s="101">
        <f t="shared" si="99"/>
        <v>11027.064778960557</v>
      </c>
      <c r="G142" s="101">
        <f t="shared" si="99"/>
        <v>5397.7767328486589</v>
      </c>
      <c r="H142" s="101">
        <f t="shared" si="99"/>
        <v>14066.013853466127</v>
      </c>
      <c r="I142" s="101">
        <f t="shared" si="99"/>
        <v>9631.1111398529538</v>
      </c>
      <c r="J142" s="101">
        <f t="shared" si="99"/>
        <v>15810.706032094822</v>
      </c>
      <c r="K142" s="101">
        <f t="shared" si="99"/>
        <v>16048.445109919077</v>
      </c>
      <c r="L142" s="101">
        <f t="shared" si="99"/>
        <v>19591.60714793011</v>
      </c>
      <c r="M142" s="101">
        <f t="shared" si="99"/>
        <v>19529.996992072593</v>
      </c>
      <c r="N142" s="101">
        <f t="shared" si="99"/>
        <v>20811.859528232773</v>
      </c>
      <c r="O142" s="101">
        <f t="shared" si="99"/>
        <v>24588.993715071112</v>
      </c>
      <c r="Q142"/>
      <c r="R142"/>
      <c r="S142"/>
      <c r="T142"/>
      <c r="U142"/>
    </row>
    <row r="143" spans="1:21" s="1" customFormat="1" ht="18" customHeight="1" outlineLevel="1" x14ac:dyDescent="0.2">
      <c r="A143"/>
      <c r="B143" s="100" t="s">
        <v>200</v>
      </c>
      <c r="C143" s="101">
        <f>-C66</f>
        <v>535</v>
      </c>
      <c r="D143" s="101">
        <f>-D66</f>
        <v>461</v>
      </c>
      <c r="E143" s="101">
        <f>-E66</f>
        <v>347</v>
      </c>
      <c r="F143" s="101">
        <f>F135*F144</f>
        <v>93.814099999999996</v>
      </c>
      <c r="G143" s="101">
        <f t="shared" ref="G143:O143" si="100">G135*G144</f>
        <v>555.84811423844735</v>
      </c>
      <c r="H143" s="101">
        <f t="shared" si="100"/>
        <v>782.01495934480613</v>
      </c>
      <c r="I143" s="101">
        <f t="shared" si="100"/>
        <v>1371.3809398050369</v>
      </c>
      <c r="J143" s="101">
        <f t="shared" si="100"/>
        <v>1774.9244965648754</v>
      </c>
      <c r="K143" s="101">
        <f t="shared" si="100"/>
        <v>2437.3930793096483</v>
      </c>
      <c r="L143" s="101">
        <f t="shared" si="100"/>
        <v>3109.8229294152579</v>
      </c>
      <c r="M143" s="101">
        <f t="shared" si="100"/>
        <v>3930.7112689135297</v>
      </c>
      <c r="N143" s="101">
        <f t="shared" si="100"/>
        <v>4749.0181428813712</v>
      </c>
      <c r="O143" s="101">
        <f t="shared" si="100"/>
        <v>5621.0350571143244</v>
      </c>
      <c r="Q143"/>
      <c r="R143"/>
      <c r="S143"/>
      <c r="T143"/>
      <c r="U143"/>
    </row>
    <row r="144" spans="1:21" s="1" customFormat="1" ht="18" customHeight="1" outlineLevel="1" x14ac:dyDescent="0.2">
      <c r="A144"/>
      <c r="B144" s="100" t="s">
        <v>201</v>
      </c>
      <c r="C144" s="113">
        <f>C143/C135</f>
        <v>0.22621564482029599</v>
      </c>
      <c r="D144" s="113">
        <f t="shared" ref="D144:E144" si="101">D143/D135</f>
        <v>0.27939393939393942</v>
      </c>
      <c r="E144" s="113">
        <f t="shared" si="101"/>
        <v>0.29632792485055509</v>
      </c>
      <c r="F144" s="265">
        <v>4.19E-2</v>
      </c>
      <c r="G144" s="265">
        <v>4.19E-2</v>
      </c>
      <c r="H144" s="265">
        <v>4.19E-2</v>
      </c>
      <c r="I144" s="265">
        <v>4.19E-2</v>
      </c>
      <c r="J144" s="265">
        <v>4.19E-2</v>
      </c>
      <c r="K144" s="265">
        <v>4.19E-2</v>
      </c>
      <c r="L144" s="265">
        <v>4.19E-2</v>
      </c>
      <c r="M144" s="265">
        <v>4.19E-2</v>
      </c>
      <c r="N144" s="265">
        <v>4.19E-2</v>
      </c>
      <c r="O144" s="265">
        <v>4.19E-2</v>
      </c>
      <c r="Q144"/>
      <c r="R144"/>
      <c r="S144"/>
      <c r="T144"/>
      <c r="U144"/>
    </row>
    <row r="145" spans="1:21" s="1" customFormat="1" ht="18" customHeight="1" outlineLevel="1" x14ac:dyDescent="0.2">
      <c r="A145"/>
      <c r="C145"/>
      <c r="D145"/>
      <c r="E145"/>
      <c r="F145"/>
      <c r="G145"/>
      <c r="H145"/>
      <c r="I145"/>
      <c r="J145"/>
      <c r="K145"/>
      <c r="L145"/>
      <c r="M145"/>
      <c r="N145"/>
      <c r="O145"/>
      <c r="Q145"/>
      <c r="R145"/>
      <c r="S145"/>
      <c r="T145"/>
      <c r="U145"/>
    </row>
    <row r="146" spans="1:21" ht="18" customHeight="1" x14ac:dyDescent="0.2">
      <c r="B146" s="109" t="s">
        <v>202</v>
      </c>
      <c r="C146" s="116" t="str">
        <f>C$5</f>
        <v>2023A</v>
      </c>
      <c r="D146" s="116" t="str">
        <f t="shared" ref="D146:O146" si="102">D$5</f>
        <v>2024A</v>
      </c>
      <c r="E146" s="116" t="str">
        <f t="shared" si="102"/>
        <v>2025A</v>
      </c>
      <c r="F146" s="116" t="str">
        <f t="shared" si="102"/>
        <v>2026P</v>
      </c>
      <c r="G146" s="116" t="str">
        <f t="shared" si="102"/>
        <v>2027P</v>
      </c>
      <c r="H146" s="116" t="str">
        <f t="shared" si="102"/>
        <v>2028P</v>
      </c>
      <c r="I146" s="116" t="str">
        <f t="shared" si="102"/>
        <v xml:space="preserve">2029P </v>
      </c>
      <c r="J146" s="116" t="str">
        <f t="shared" si="102"/>
        <v>2030P</v>
      </c>
      <c r="K146" s="116" t="str">
        <f t="shared" si="102"/>
        <v>2031P</v>
      </c>
      <c r="L146" s="116" t="str">
        <f t="shared" si="102"/>
        <v>2032P</v>
      </c>
      <c r="M146" s="116" t="str">
        <f t="shared" si="102"/>
        <v xml:space="preserve">2033P </v>
      </c>
      <c r="N146" s="116" t="str">
        <f t="shared" si="102"/>
        <v>2034P</v>
      </c>
      <c r="O146" s="116" t="str">
        <f t="shared" si="102"/>
        <v>2035P</v>
      </c>
      <c r="Q146" s="5" t="s">
        <v>203</v>
      </c>
      <c r="R146" s="5"/>
      <c r="S146" s="5"/>
      <c r="T146" s="5"/>
    </row>
    <row r="147" spans="1:21" ht="18" customHeight="1" outlineLevel="1" x14ac:dyDescent="0.2">
      <c r="B147" s="100" t="s">
        <v>204</v>
      </c>
      <c r="C147" s="107">
        <v>3154</v>
      </c>
      <c r="D147" s="107">
        <v>4416</v>
      </c>
      <c r="E147" s="107">
        <v>7145</v>
      </c>
      <c r="F147" s="101">
        <f t="shared" ref="F147:O148" si="103">F155*F14/365</f>
        <v>7493.877204109589</v>
      </c>
      <c r="G147" s="101">
        <f t="shared" si="103"/>
        <v>8747.2713846575334</v>
      </c>
      <c r="H147" s="101">
        <f t="shared" si="103"/>
        <v>9860.6032715342462</v>
      </c>
      <c r="I147" s="101">
        <f t="shared" si="103"/>
        <v>10955.2067189926</v>
      </c>
      <c r="J147" s="101">
        <f t="shared" si="103"/>
        <v>11927.828186683642</v>
      </c>
      <c r="K147" s="101">
        <f t="shared" si="103"/>
        <v>12778.819110083432</v>
      </c>
      <c r="L147" s="101">
        <f t="shared" si="103"/>
        <v>13592.812889192046</v>
      </c>
      <c r="M147" s="101">
        <f t="shared" si="103"/>
        <v>14324.637161602457</v>
      </c>
      <c r="N147" s="101">
        <f t="shared" si="103"/>
        <v>14983.364462369684</v>
      </c>
      <c r="O147" s="101">
        <f t="shared" si="103"/>
        <v>15553.084193848326</v>
      </c>
      <c r="R147" s="220" t="str">
        <f>$C$146</f>
        <v>2023A</v>
      </c>
      <c r="S147" s="220" t="str">
        <f>$D$146</f>
        <v>2024A</v>
      </c>
      <c r="T147" s="220" t="str">
        <f>$E$146</f>
        <v>2025A</v>
      </c>
    </row>
    <row r="148" spans="1:21" ht="18" customHeight="1" outlineLevel="1" x14ac:dyDescent="0.2">
      <c r="B148" s="100" t="s">
        <v>127</v>
      </c>
      <c r="C148" s="107">
        <v>1898</v>
      </c>
      <c r="D148" s="107">
        <v>1760</v>
      </c>
      <c r="E148" s="107">
        <v>2270</v>
      </c>
      <c r="F148" s="101">
        <f t="shared" si="103"/>
        <v>8013.7159356164393</v>
      </c>
      <c r="G148" s="101">
        <f t="shared" si="103"/>
        <v>9448.1976871232891</v>
      </c>
      <c r="H148" s="101">
        <f t="shared" si="103"/>
        <v>10771.726753232877</v>
      </c>
      <c r="I148" s="101">
        <f t="shared" si="103"/>
        <v>10991.264402835861</v>
      </c>
      <c r="J148" s="101">
        <f t="shared" si="103"/>
        <v>12032.452646849855</v>
      </c>
      <c r="K148" s="101">
        <f t="shared" si="103"/>
        <v>12946.380773731395</v>
      </c>
      <c r="L148" s="101">
        <f t="shared" si="103"/>
        <v>13814.666321696759</v>
      </c>
      <c r="M148" s="101">
        <f t="shared" si="103"/>
        <v>14604.066750554899</v>
      </c>
      <c r="N148" s="101">
        <f t="shared" si="103"/>
        <v>15307.160796777991</v>
      </c>
      <c r="O148" s="101">
        <f t="shared" si="103"/>
        <v>15905.485943627213</v>
      </c>
      <c r="Q148" t="s">
        <v>205</v>
      </c>
      <c r="R148" s="107">
        <v>3652</v>
      </c>
      <c r="S148" s="107">
        <v>11793</v>
      </c>
      <c r="T148" s="107">
        <v>11673</v>
      </c>
    </row>
    <row r="149" spans="1:21" ht="18" customHeight="1" outlineLevel="1" x14ac:dyDescent="0.35">
      <c r="B149" s="100" t="s">
        <v>206</v>
      </c>
      <c r="C149" s="107">
        <v>1606</v>
      </c>
      <c r="D149" s="107">
        <v>4071</v>
      </c>
      <c r="E149" s="107">
        <v>5980</v>
      </c>
      <c r="F149" s="101">
        <f t="shared" ref="F149:O149" si="104">F157*F14</f>
        <v>5626.8312264000006</v>
      </c>
      <c r="G149" s="101">
        <f t="shared" si="104"/>
        <v>6567.9511996799993</v>
      </c>
      <c r="H149" s="101">
        <f t="shared" si="104"/>
        <v>7403.9043993119994</v>
      </c>
      <c r="I149" s="101">
        <f t="shared" si="104"/>
        <v>8225.7952164321578</v>
      </c>
      <c r="J149" s="101">
        <f t="shared" si="104"/>
        <v>8956.0949927441743</v>
      </c>
      <c r="K149" s="101">
        <f t="shared" si="104"/>
        <v>9595.0676060855021</v>
      </c>
      <c r="L149" s="101">
        <f t="shared" si="104"/>
        <v>10206.260649370484</v>
      </c>
      <c r="M149" s="101">
        <f t="shared" si="104"/>
        <v>10755.756131626073</v>
      </c>
      <c r="N149" s="101">
        <f t="shared" si="104"/>
        <v>11250.366230602149</v>
      </c>
      <c r="O149" s="101">
        <f t="shared" si="104"/>
        <v>11678.144360409542</v>
      </c>
      <c r="Q149" s="122" t="s">
        <v>207</v>
      </c>
      <c r="R149" s="108">
        <v>-60</v>
      </c>
      <c r="S149" s="108">
        <v>-207</v>
      </c>
      <c r="T149" s="108">
        <v>-144</v>
      </c>
    </row>
    <row r="150" spans="1:21" ht="18" customHeight="1" outlineLevel="1" x14ac:dyDescent="0.2">
      <c r="B150" s="100" t="s">
        <v>208</v>
      </c>
      <c r="C150" s="107">
        <v>1210</v>
      </c>
      <c r="D150" s="107">
        <v>1662</v>
      </c>
      <c r="E150" s="107">
        <v>1560</v>
      </c>
      <c r="F150" s="101">
        <f t="shared" ref="F150:O150" si="105">F15*F158/365</f>
        <v>2564.3890993972605</v>
      </c>
      <c r="G150" s="101">
        <f t="shared" si="105"/>
        <v>3023.4232598794524</v>
      </c>
      <c r="H150" s="101">
        <f t="shared" si="105"/>
        <v>3446.9525610345204</v>
      </c>
      <c r="I150" s="101">
        <f t="shared" si="105"/>
        <v>3517.2046089074752</v>
      </c>
      <c r="J150" s="101">
        <f t="shared" si="105"/>
        <v>3850.384846991954</v>
      </c>
      <c r="K150" s="101">
        <f t="shared" si="105"/>
        <v>4142.8418475940471</v>
      </c>
      <c r="L150" s="101">
        <f t="shared" si="105"/>
        <v>4420.6932229429631</v>
      </c>
      <c r="M150" s="101">
        <f t="shared" si="105"/>
        <v>4673.3013601775674</v>
      </c>
      <c r="N150" s="101">
        <f t="shared" si="105"/>
        <v>4898.2914549689576</v>
      </c>
      <c r="O150" s="101">
        <f t="shared" si="105"/>
        <v>5089.755501960708</v>
      </c>
      <c r="Q150" s="122" t="s">
        <v>209</v>
      </c>
      <c r="R150" s="120">
        <f>R148+R149</f>
        <v>3592</v>
      </c>
      <c r="S150" s="120">
        <f t="shared" ref="S150:T150" si="106">S148+S149</f>
        <v>11586</v>
      </c>
      <c r="T150" s="120">
        <f t="shared" si="106"/>
        <v>11529</v>
      </c>
    </row>
    <row r="151" spans="1:21" ht="18" customHeight="1" outlineLevel="1" x14ac:dyDescent="0.2">
      <c r="B151" s="100" t="s">
        <v>210</v>
      </c>
      <c r="C151" s="107">
        <v>935</v>
      </c>
      <c r="D151" s="107">
        <v>1971</v>
      </c>
      <c r="E151" s="107">
        <v>2129</v>
      </c>
      <c r="F151" s="101">
        <f t="shared" ref="F151:O151" si="107">F159*F14</f>
        <v>2524.2590085100005</v>
      </c>
      <c r="G151" s="101">
        <f t="shared" si="107"/>
        <v>2946.455885412</v>
      </c>
      <c r="H151" s="101">
        <f t="shared" si="107"/>
        <v>3321.4737791358002</v>
      </c>
      <c r="I151" s="101">
        <f t="shared" si="107"/>
        <v>3690.1831318160935</v>
      </c>
      <c r="J151" s="101">
        <f t="shared" si="107"/>
        <v>4017.8037259116236</v>
      </c>
      <c r="K151" s="101">
        <f t="shared" si="107"/>
        <v>4304.4539399522464</v>
      </c>
      <c r="L151" s="101">
        <f t="shared" si="107"/>
        <v>4578.6419302037039</v>
      </c>
      <c r="M151" s="101">
        <f t="shared" si="107"/>
        <v>4825.1517090489197</v>
      </c>
      <c r="N151" s="101">
        <f t="shared" si="107"/>
        <v>5047.0392951173535</v>
      </c>
      <c r="O151" s="101">
        <f t="shared" si="107"/>
        <v>5238.9453172392823</v>
      </c>
    </row>
    <row r="152" spans="1:21" ht="18" customHeight="1" outlineLevel="1" x14ac:dyDescent="0.35">
      <c r="B152" s="122" t="s">
        <v>211</v>
      </c>
      <c r="C152" s="102">
        <f>R150</f>
        <v>3592</v>
      </c>
      <c r="D152" s="102">
        <f t="shared" ref="D152:E152" si="108">S150</f>
        <v>11586</v>
      </c>
      <c r="E152" s="102">
        <f t="shared" si="108"/>
        <v>11529</v>
      </c>
      <c r="F152" s="102">
        <f t="shared" ref="F152:O152" si="109">F160*F14</f>
        <v>13152.717991710002</v>
      </c>
      <c r="G152" s="102">
        <f t="shared" si="109"/>
        <v>15352.585929252</v>
      </c>
      <c r="H152" s="102">
        <f t="shared" si="109"/>
        <v>17306.626533391802</v>
      </c>
      <c r="I152" s="102">
        <f t="shared" si="109"/>
        <v>19227.796318410172</v>
      </c>
      <c r="J152" s="102">
        <f t="shared" si="109"/>
        <v>20934.872045539512</v>
      </c>
      <c r="K152" s="102">
        <f t="shared" si="109"/>
        <v>22428.470529224862</v>
      </c>
      <c r="L152" s="102">
        <f t="shared" si="109"/>
        <v>23857.134267903511</v>
      </c>
      <c r="M152" s="102">
        <f t="shared" si="109"/>
        <v>25141.579957675949</v>
      </c>
      <c r="N152" s="102">
        <f t="shared" si="109"/>
        <v>26297.731064032527</v>
      </c>
      <c r="O152" s="102">
        <f t="shared" si="109"/>
        <v>27297.662442457309</v>
      </c>
    </row>
    <row r="153" spans="1:21" ht="18" customHeight="1" outlineLevel="1" x14ac:dyDescent="0.2">
      <c r="B153" s="100" t="s">
        <v>212</v>
      </c>
      <c r="C153" s="101">
        <f>SUM(C147:C149)-SUM(C150:C152)</f>
        <v>921</v>
      </c>
      <c r="D153" s="101">
        <f t="shared" ref="D153:O153" si="110">SUM(D147:D149)-SUM(D150:D152)</f>
        <v>-4972</v>
      </c>
      <c r="E153" s="101">
        <f>SUM(E147:E149)-SUM(E150:E152)</f>
        <v>177</v>
      </c>
      <c r="F153" s="101">
        <f>SUM(F147:F149)-SUM(F150:F152)</f>
        <v>2893.0582665087677</v>
      </c>
      <c r="G153" s="101">
        <f t="shared" si="110"/>
        <v>3440.9551969173699</v>
      </c>
      <c r="H153" s="101">
        <f t="shared" si="110"/>
        <v>3961.181550516998</v>
      </c>
      <c r="I153" s="101">
        <f t="shared" si="110"/>
        <v>3737.0822791268802</v>
      </c>
      <c r="J153" s="101">
        <f t="shared" si="110"/>
        <v>4113.3152078345847</v>
      </c>
      <c r="K153" s="101">
        <f t="shared" si="110"/>
        <v>4444.5011731291779</v>
      </c>
      <c r="L153" s="101">
        <f t="shared" si="110"/>
        <v>4757.2704392091109</v>
      </c>
      <c r="M153" s="101">
        <f t="shared" si="110"/>
        <v>5044.4270168809962</v>
      </c>
      <c r="N153" s="101">
        <f t="shared" si="110"/>
        <v>5297.8296756309865</v>
      </c>
      <c r="O153" s="101">
        <f t="shared" si="110"/>
        <v>5510.3512362277761</v>
      </c>
    </row>
    <row r="154" spans="1:21" ht="18" customHeight="1" outlineLevel="1" x14ac:dyDescent="0.35">
      <c r="B154" s="109" t="s">
        <v>213</v>
      </c>
      <c r="C154" s="110"/>
      <c r="D154" s="111">
        <f t="shared" ref="D154:O154" si="111">D153-C153</f>
        <v>-5893</v>
      </c>
      <c r="E154" s="111">
        <f>E153-D153</f>
        <v>5149</v>
      </c>
      <c r="F154" s="111">
        <f>F153-E153</f>
        <v>2716.0582665087677</v>
      </c>
      <c r="G154" s="111">
        <f t="shared" si="111"/>
        <v>547.8969304086022</v>
      </c>
      <c r="H154" s="111">
        <f t="shared" si="111"/>
        <v>520.22635359962806</v>
      </c>
      <c r="I154" s="111">
        <f t="shared" si="111"/>
        <v>-224.09927139011779</v>
      </c>
      <c r="J154" s="111">
        <f t="shared" si="111"/>
        <v>376.23292870770456</v>
      </c>
      <c r="K154" s="111">
        <f t="shared" si="111"/>
        <v>331.18596529459319</v>
      </c>
      <c r="L154" s="111">
        <f t="shared" si="111"/>
        <v>312.769266079933</v>
      </c>
      <c r="M154" s="111">
        <f t="shared" si="111"/>
        <v>287.15657767188532</v>
      </c>
      <c r="N154" s="111">
        <f t="shared" si="111"/>
        <v>253.40265874999022</v>
      </c>
      <c r="O154" s="111">
        <f t="shared" si="111"/>
        <v>212.52156059678964</v>
      </c>
    </row>
    <row r="155" spans="1:21" ht="18" customHeight="1" outlineLevel="1" x14ac:dyDescent="0.2">
      <c r="B155" s="100" t="s">
        <v>214</v>
      </c>
      <c r="C155" s="101">
        <f>C147/C14*365</f>
        <v>32.139646556296938</v>
      </c>
      <c r="D155" s="101">
        <f>D147/D14*365</f>
        <v>31.252956916275643</v>
      </c>
      <c r="E155" s="101">
        <f>E147/E14*365</f>
        <v>40.820902531031351</v>
      </c>
      <c r="F155" s="114">
        <v>35</v>
      </c>
      <c r="G155" s="114">
        <v>35</v>
      </c>
      <c r="H155" s="114">
        <v>35</v>
      </c>
      <c r="I155" s="114">
        <v>35</v>
      </c>
      <c r="J155" s="114">
        <v>35</v>
      </c>
      <c r="K155" s="114">
        <v>35</v>
      </c>
      <c r="L155" s="114">
        <v>35</v>
      </c>
      <c r="M155" s="114">
        <v>35</v>
      </c>
      <c r="N155" s="114">
        <v>35</v>
      </c>
      <c r="O155" s="114">
        <v>35</v>
      </c>
    </row>
    <row r="156" spans="1:21" ht="18" customHeight="1" outlineLevel="1" x14ac:dyDescent="0.2">
      <c r="B156" s="100" t="s">
        <v>215</v>
      </c>
      <c r="C156" s="101">
        <f>C147/C15*365</f>
        <v>127.03707790774664</v>
      </c>
      <c r="D156" s="101">
        <f>D147/D15*365</f>
        <v>132.94622236885516</v>
      </c>
      <c r="E156" s="101">
        <f>E147/E15*365</f>
        <v>191.16881688901918</v>
      </c>
      <c r="F156" s="114">
        <v>150</v>
      </c>
      <c r="G156" s="114">
        <v>150</v>
      </c>
      <c r="H156" s="114">
        <v>150</v>
      </c>
      <c r="I156" s="114">
        <v>150</v>
      </c>
      <c r="J156" s="114">
        <v>150</v>
      </c>
      <c r="K156" s="114">
        <v>150</v>
      </c>
      <c r="L156" s="114">
        <v>150</v>
      </c>
      <c r="M156" s="114">
        <v>150</v>
      </c>
      <c r="N156" s="114">
        <v>150</v>
      </c>
      <c r="O156" s="114">
        <v>150</v>
      </c>
      <c r="P156" s="114"/>
    </row>
    <row r="157" spans="1:21" ht="18" customHeight="1" outlineLevel="1" x14ac:dyDescent="0.2">
      <c r="B157" s="100" t="s">
        <v>216</v>
      </c>
      <c r="C157" s="112">
        <f>C149/C14</f>
        <v>4.4836539266869535E-2</v>
      </c>
      <c r="D157" s="113">
        <f>D149/D14</f>
        <v>7.8935122348470166E-2</v>
      </c>
      <c r="E157" s="113">
        <f>E149/E14</f>
        <v>9.36027673861662E-2</v>
      </c>
      <c r="F157" s="115">
        <v>7.1999999999999995E-2</v>
      </c>
      <c r="G157" s="115">
        <v>7.1999999999999995E-2</v>
      </c>
      <c r="H157" s="115">
        <v>7.1999999999999995E-2</v>
      </c>
      <c r="I157" s="115">
        <v>7.1999999999999995E-2</v>
      </c>
      <c r="J157" s="115">
        <v>7.1999999999999995E-2</v>
      </c>
      <c r="K157" s="115">
        <v>7.1999999999999995E-2</v>
      </c>
      <c r="L157" s="115">
        <v>7.1999999999999995E-2</v>
      </c>
      <c r="M157" s="115">
        <v>7.1999999999999995E-2</v>
      </c>
      <c r="N157" s="115">
        <v>7.1999999999999995E-2</v>
      </c>
      <c r="O157" s="115">
        <v>7.1999999999999995E-2</v>
      </c>
      <c r="P157" s="265"/>
    </row>
    <row r="158" spans="1:21" ht="18" customHeight="1" outlineLevel="1" x14ac:dyDescent="0.2">
      <c r="B158" s="100" t="s">
        <v>217</v>
      </c>
      <c r="C158" s="101">
        <f>C150/C15*365</f>
        <v>48.7364820128007</v>
      </c>
      <c r="D158" s="101">
        <f>D150/D15*365</f>
        <v>50.035466842626192</v>
      </c>
      <c r="E158" s="101">
        <f>E150/E15*365</f>
        <v>41.738747984166544</v>
      </c>
      <c r="F158" s="114">
        <v>48</v>
      </c>
      <c r="G158" s="114">
        <v>48</v>
      </c>
      <c r="H158" s="114">
        <v>48</v>
      </c>
      <c r="I158" s="114">
        <v>48</v>
      </c>
      <c r="J158" s="114">
        <v>48</v>
      </c>
      <c r="K158" s="114">
        <v>48</v>
      </c>
      <c r="L158" s="114">
        <v>48</v>
      </c>
      <c r="M158" s="114">
        <v>48</v>
      </c>
      <c r="N158" s="114">
        <v>48</v>
      </c>
      <c r="O158" s="114">
        <v>48</v>
      </c>
      <c r="P158" s="114"/>
    </row>
    <row r="159" spans="1:21" ht="18" customHeight="1" outlineLevel="1" x14ac:dyDescent="0.2">
      <c r="B159" s="100" t="s">
        <v>218</v>
      </c>
      <c r="C159" s="113">
        <f>C151/C14</f>
        <v>2.6103464641670623E-2</v>
      </c>
      <c r="D159" s="113">
        <f>D151/D14</f>
        <v>3.8216931011750103E-2</v>
      </c>
      <c r="E159" s="113">
        <f>E151/E14</f>
        <v>3.3324463505877568E-2</v>
      </c>
      <c r="F159" s="115">
        <v>3.2300000000000002E-2</v>
      </c>
      <c r="G159" s="115">
        <v>3.2300000000000002E-2</v>
      </c>
      <c r="H159" s="115">
        <v>3.2300000000000002E-2</v>
      </c>
      <c r="I159" s="115">
        <v>3.2300000000000002E-2</v>
      </c>
      <c r="J159" s="115">
        <v>3.2300000000000002E-2</v>
      </c>
      <c r="K159" s="115">
        <v>3.2300000000000002E-2</v>
      </c>
      <c r="L159" s="115">
        <v>3.2300000000000002E-2</v>
      </c>
      <c r="M159" s="115">
        <v>3.2300000000000002E-2</v>
      </c>
      <c r="N159" s="115">
        <v>3.2300000000000002E-2</v>
      </c>
      <c r="O159" s="115">
        <v>3.2300000000000002E-2</v>
      </c>
    </row>
    <row r="160" spans="1:21" ht="18" customHeight="1" outlineLevel="1" x14ac:dyDescent="0.2">
      <c r="B160" s="100" t="s">
        <v>219</v>
      </c>
      <c r="C160" s="113">
        <f>C152/C14</f>
        <v>0.10028197325441805</v>
      </c>
      <c r="D160" s="113">
        <f>D152/D14</f>
        <v>0.22464807848916121</v>
      </c>
      <c r="E160" s="113">
        <f>E152/E14</f>
        <v>0.18045924836038632</v>
      </c>
      <c r="F160" s="115">
        <v>0.16830000000000001</v>
      </c>
      <c r="G160" s="115">
        <v>0.16830000000000001</v>
      </c>
      <c r="H160" s="115">
        <v>0.16830000000000001</v>
      </c>
      <c r="I160" s="115">
        <v>0.16830000000000001</v>
      </c>
      <c r="J160" s="115">
        <v>0.16830000000000001</v>
      </c>
      <c r="K160" s="115">
        <v>0.16830000000000001</v>
      </c>
      <c r="L160" s="115">
        <v>0.16830000000000001</v>
      </c>
      <c r="M160" s="115">
        <v>0.16830000000000001</v>
      </c>
      <c r="N160" s="115">
        <v>0.16830000000000001</v>
      </c>
      <c r="O160" s="115">
        <v>0.16830000000000001</v>
      </c>
    </row>
    <row r="161" spans="1:21" ht="18" customHeight="1" outlineLevel="1" x14ac:dyDescent="0.2">
      <c r="B161" s="100"/>
      <c r="C161" s="113"/>
      <c r="D161" s="113"/>
      <c r="E161" s="113"/>
      <c r="F161" s="115"/>
      <c r="G161" s="115"/>
      <c r="H161" s="115"/>
      <c r="I161" s="115"/>
      <c r="J161" s="115"/>
      <c r="K161" s="115"/>
      <c r="L161" s="115"/>
      <c r="M161" s="115"/>
      <c r="N161" s="115"/>
      <c r="O161" s="115"/>
    </row>
    <row r="162" spans="1:21" s="1" customFormat="1" ht="18" customHeight="1" x14ac:dyDescent="0.2">
      <c r="A162"/>
      <c r="B162" s="109" t="s">
        <v>220</v>
      </c>
      <c r="C162" s="116" t="str">
        <f>C$5</f>
        <v>2023A</v>
      </c>
      <c r="D162" s="116" t="str">
        <f t="shared" ref="D162:O162" si="112">D$5</f>
        <v>2024A</v>
      </c>
      <c r="E162" s="116" t="str">
        <f t="shared" si="112"/>
        <v>2025A</v>
      </c>
      <c r="F162" s="116" t="str">
        <f t="shared" si="112"/>
        <v>2026P</v>
      </c>
      <c r="G162" s="116" t="str">
        <f t="shared" si="112"/>
        <v>2027P</v>
      </c>
      <c r="H162" s="116" t="str">
        <f t="shared" si="112"/>
        <v>2028P</v>
      </c>
      <c r="I162" s="116" t="str">
        <f t="shared" si="112"/>
        <v xml:space="preserve">2029P </v>
      </c>
      <c r="J162" s="116" t="str">
        <f t="shared" si="112"/>
        <v>2030P</v>
      </c>
      <c r="K162" s="116" t="str">
        <f t="shared" si="112"/>
        <v>2031P</v>
      </c>
      <c r="L162" s="116" t="str">
        <f t="shared" si="112"/>
        <v>2032P</v>
      </c>
      <c r="M162" s="116" t="str">
        <f t="shared" si="112"/>
        <v xml:space="preserve">2033P </v>
      </c>
      <c r="N162" s="116" t="str">
        <f t="shared" si="112"/>
        <v>2034P</v>
      </c>
      <c r="O162" s="116" t="str">
        <f t="shared" si="112"/>
        <v>2035P</v>
      </c>
      <c r="Q162"/>
      <c r="R162"/>
      <c r="S162"/>
      <c r="T162"/>
      <c r="U162"/>
    </row>
    <row r="163" spans="1:21" s="1" customFormat="1" ht="18" customHeight="1" outlineLevel="1" x14ac:dyDescent="0.2">
      <c r="A163"/>
      <c r="B163" t="s">
        <v>221</v>
      </c>
      <c r="C163" s="107">
        <v>7111</v>
      </c>
      <c r="D163" s="101">
        <f>C167</f>
        <v>3867</v>
      </c>
      <c r="E163" s="101">
        <f>D167</f>
        <v>40583</v>
      </c>
      <c r="F163" s="101">
        <f>E167</f>
        <v>32273</v>
      </c>
      <c r="G163" s="101">
        <f t="shared" ref="G163:O163" si="113">F167</f>
        <v>24998.665861175003</v>
      </c>
      <c r="H163" s="101">
        <f>G167</f>
        <v>18823.317516969251</v>
      </c>
      <c r="I163" s="101">
        <f t="shared" si="113"/>
        <v>13805.473088561503</v>
      </c>
      <c r="J163" s="101">
        <f t="shared" si="113"/>
        <v>9929.8306831935515</v>
      </c>
      <c r="K163" s="101">
        <f t="shared" si="113"/>
        <v>7235.1443410373849</v>
      </c>
      <c r="L163" s="101">
        <f t="shared" si="113"/>
        <v>5532.5542555472975</v>
      </c>
      <c r="M163" s="101">
        <f t="shared" si="113"/>
        <v>5331.6763532590103</v>
      </c>
      <c r="N163" s="101">
        <f t="shared" si="113"/>
        <v>5919.8538701178322</v>
      </c>
      <c r="O163" s="101">
        <f t="shared" si="113"/>
        <v>6458.7180585526676</v>
      </c>
      <c r="Q163"/>
      <c r="R163"/>
      <c r="S163"/>
      <c r="T163"/>
      <c r="U163"/>
    </row>
    <row r="164" spans="1:21" s="1" customFormat="1" ht="18" customHeight="1" outlineLevel="1" x14ac:dyDescent="0.2">
      <c r="A164"/>
      <c r="B164" s="100" t="s">
        <v>222</v>
      </c>
      <c r="C164" s="107"/>
      <c r="D164" s="107"/>
      <c r="E164" s="107"/>
      <c r="F164" s="101">
        <f t="shared" ref="F164:O164" si="114">F42</f>
        <v>605.66586117500015</v>
      </c>
      <c r="G164" s="101">
        <f t="shared" si="114"/>
        <v>684.16158330000007</v>
      </c>
      <c r="H164" s="101">
        <f t="shared" si="114"/>
        <v>771.24004159500009</v>
      </c>
      <c r="I164" s="101">
        <f t="shared" si="114"/>
        <v>856.85366837834977</v>
      </c>
      <c r="J164" s="101">
        <f t="shared" si="114"/>
        <v>932.92656174418505</v>
      </c>
      <c r="K164" s="101">
        <f t="shared" si="114"/>
        <v>999.48620896723969</v>
      </c>
      <c r="L164" s="101">
        <f t="shared" si="114"/>
        <v>1063.1521509760921</v>
      </c>
      <c r="M164" s="101">
        <f t="shared" si="114"/>
        <v>1120.3912637110493</v>
      </c>
      <c r="N164" s="101">
        <f t="shared" si="114"/>
        <v>1171.9131490210573</v>
      </c>
      <c r="O164" s="101">
        <f t="shared" si="114"/>
        <v>1216.4733708759941</v>
      </c>
      <c r="Q164"/>
      <c r="R164"/>
      <c r="S164"/>
      <c r="T164"/>
      <c r="U164"/>
    </row>
    <row r="165" spans="1:21" s="1" customFormat="1" ht="18" customHeight="1" outlineLevel="1" x14ac:dyDescent="0.2">
      <c r="A165"/>
      <c r="B165" s="100" t="s">
        <v>223</v>
      </c>
      <c r="C165" s="107"/>
      <c r="D165" s="107"/>
      <c r="E165" s="107"/>
      <c r="F165" s="101">
        <f>-F169*E170</f>
        <v>0</v>
      </c>
      <c r="G165" s="101">
        <f t="shared" ref="G165:O165" si="115">-G169*F170</f>
        <v>-54.509927505750014</v>
      </c>
      <c r="H165" s="101">
        <f t="shared" si="115"/>
        <v>-116.08447000275001</v>
      </c>
      <c r="I165" s="101">
        <f t="shared" si="115"/>
        <v>-185.4960737463</v>
      </c>
      <c r="J165" s="101">
        <f t="shared" si="115"/>
        <v>-262.61290390035145</v>
      </c>
      <c r="K165" s="101">
        <f t="shared" si="115"/>
        <v>-346.57629445732812</v>
      </c>
      <c r="L165" s="101">
        <f t="shared" si="115"/>
        <v>-436.53005326437966</v>
      </c>
      <c r="M165" s="101">
        <f t="shared" si="115"/>
        <v>-532.21374685222804</v>
      </c>
      <c r="N165" s="101">
        <f t="shared" si="115"/>
        <v>-633.04896058622251</v>
      </c>
      <c r="O165" s="101">
        <f t="shared" si="115"/>
        <v>-738.52114399811751</v>
      </c>
      <c r="Q165"/>
      <c r="R165"/>
      <c r="S165"/>
      <c r="T165"/>
      <c r="U165"/>
    </row>
    <row r="166" spans="1:21" s="1" customFormat="1" ht="18" customHeight="1" outlineLevel="1" x14ac:dyDescent="0.35">
      <c r="A166"/>
      <c r="B166" s="100" t="s">
        <v>224</v>
      </c>
      <c r="C166" s="108">
        <f>-3246</f>
        <v>-3246</v>
      </c>
      <c r="D166" s="108">
        <v>-9267</v>
      </c>
      <c r="E166" s="108">
        <v>-8062</v>
      </c>
      <c r="F166" s="104">
        <v>-7880</v>
      </c>
      <c r="G166" s="104">
        <v>-6805</v>
      </c>
      <c r="H166" s="104">
        <v>-5673</v>
      </c>
      <c r="I166" s="104">
        <v>-4547</v>
      </c>
      <c r="J166" s="104">
        <v>-3365</v>
      </c>
      <c r="K166" s="104">
        <v>-2355.5</v>
      </c>
      <c r="L166" s="104">
        <v>-827.5</v>
      </c>
      <c r="M166" s="104">
        <v>0</v>
      </c>
      <c r="N166" s="104">
        <v>0</v>
      </c>
      <c r="O166" s="104">
        <v>0</v>
      </c>
      <c r="Q166"/>
      <c r="R166"/>
      <c r="S166"/>
      <c r="T166"/>
      <c r="U166"/>
    </row>
    <row r="167" spans="1:21" s="1" customFormat="1" ht="18" customHeight="1" outlineLevel="1" x14ac:dyDescent="0.2">
      <c r="A167"/>
      <c r="B167" s="100" t="s">
        <v>225</v>
      </c>
      <c r="C167" s="107">
        <v>3867</v>
      </c>
      <c r="D167" s="107">
        <v>40583</v>
      </c>
      <c r="E167" s="107">
        <v>32273</v>
      </c>
      <c r="F167" s="101">
        <f>SUM(F163:F166)</f>
        <v>24998.665861175003</v>
      </c>
      <c r="G167" s="101">
        <f t="shared" ref="G167:O167" si="116">SUM(G163:G166)</f>
        <v>18823.317516969251</v>
      </c>
      <c r="H167" s="101">
        <f t="shared" si="116"/>
        <v>13805.473088561503</v>
      </c>
      <c r="I167" s="101">
        <f t="shared" si="116"/>
        <v>9929.8306831935515</v>
      </c>
      <c r="J167" s="101">
        <f t="shared" si="116"/>
        <v>7235.1443410373849</v>
      </c>
      <c r="K167" s="101">
        <f t="shared" si="116"/>
        <v>5532.5542555472975</v>
      </c>
      <c r="L167" s="101">
        <f t="shared" si="116"/>
        <v>5331.6763532590103</v>
      </c>
      <c r="M167" s="101">
        <f t="shared" si="116"/>
        <v>5919.8538701178322</v>
      </c>
      <c r="N167" s="101">
        <f t="shared" si="116"/>
        <v>6458.7180585526676</v>
      </c>
      <c r="O167" s="101">
        <f t="shared" si="116"/>
        <v>6936.670285430544</v>
      </c>
      <c r="Q167"/>
      <c r="R167"/>
      <c r="S167"/>
      <c r="T167"/>
      <c r="U167"/>
    </row>
    <row r="168" spans="1:21" s="1" customFormat="1" ht="18" customHeight="1" outlineLevel="1" x14ac:dyDescent="0.2">
      <c r="A168"/>
      <c r="B168" s="100" t="s">
        <v>226</v>
      </c>
      <c r="C168" s="121"/>
      <c r="D168" s="121"/>
      <c r="E168" s="121"/>
      <c r="F168" s="115">
        <v>0.05</v>
      </c>
      <c r="G168" s="115">
        <v>0.05</v>
      </c>
      <c r="H168" s="115">
        <v>0.05</v>
      </c>
      <c r="I168" s="115">
        <v>0.05</v>
      </c>
      <c r="J168" s="115">
        <v>0.05</v>
      </c>
      <c r="K168" s="115">
        <v>0.05</v>
      </c>
      <c r="L168" s="115">
        <v>0.05</v>
      </c>
      <c r="M168" s="115">
        <v>0.05</v>
      </c>
      <c r="N168" s="115">
        <v>0.05</v>
      </c>
      <c r="O168" s="115">
        <v>0.05</v>
      </c>
      <c r="Q168"/>
      <c r="R168"/>
      <c r="S168"/>
      <c r="T168"/>
      <c r="U168"/>
    </row>
    <row r="169" spans="1:21" s="1" customFormat="1" ht="18" customHeight="1" outlineLevel="1" x14ac:dyDescent="0.2">
      <c r="A169"/>
      <c r="B169" s="100" t="s">
        <v>227</v>
      </c>
      <c r="C169" s="121"/>
      <c r="D169" s="121"/>
      <c r="E169" s="121"/>
      <c r="F169" s="115">
        <v>0.09</v>
      </c>
      <c r="G169" s="115">
        <v>0.09</v>
      </c>
      <c r="H169" s="115">
        <v>0.09</v>
      </c>
      <c r="I169" s="115">
        <v>0.09</v>
      </c>
      <c r="J169" s="115">
        <v>0.09</v>
      </c>
      <c r="K169" s="115">
        <v>0.09</v>
      </c>
      <c r="L169" s="115">
        <v>0.09</v>
      </c>
      <c r="M169" s="115">
        <v>0.09</v>
      </c>
      <c r="N169" s="115">
        <v>0.09</v>
      </c>
      <c r="O169" s="115">
        <v>0.09</v>
      </c>
      <c r="Q169"/>
      <c r="R169"/>
      <c r="S169"/>
      <c r="T169"/>
      <c r="U169"/>
    </row>
    <row r="170" spans="1:21" s="1" customFormat="1" ht="18" customHeight="1" outlineLevel="1" x14ac:dyDescent="0.2">
      <c r="A170"/>
      <c r="B170" s="100" t="s">
        <v>228</v>
      </c>
      <c r="C170" s="101"/>
      <c r="D170" s="101"/>
      <c r="E170" s="107"/>
      <c r="F170" s="101">
        <f>F164+E170</f>
        <v>605.66586117500015</v>
      </c>
      <c r="G170" s="101">
        <f t="shared" ref="G170:O170" si="117">G164+F170</f>
        <v>1289.8274444750002</v>
      </c>
      <c r="H170" s="101">
        <f t="shared" si="117"/>
        <v>2061.0674860700001</v>
      </c>
      <c r="I170" s="101">
        <f t="shared" si="117"/>
        <v>2917.9211544483496</v>
      </c>
      <c r="J170" s="101">
        <f t="shared" si="117"/>
        <v>3850.8477161925348</v>
      </c>
      <c r="K170" s="101">
        <f t="shared" si="117"/>
        <v>4850.3339251597745</v>
      </c>
      <c r="L170" s="101">
        <f t="shared" si="117"/>
        <v>5913.4860761358668</v>
      </c>
      <c r="M170" s="101">
        <f t="shared" si="117"/>
        <v>7033.8773398469166</v>
      </c>
      <c r="N170" s="101">
        <f t="shared" si="117"/>
        <v>8205.7904888679732</v>
      </c>
      <c r="O170" s="101">
        <f t="shared" si="117"/>
        <v>9422.2638597439673</v>
      </c>
      <c r="Q170"/>
      <c r="R170"/>
      <c r="S170"/>
      <c r="T170"/>
      <c r="U170"/>
    </row>
    <row r="171" spans="1:21" s="1" customFormat="1" ht="18" customHeight="1" outlineLevel="1" x14ac:dyDescent="0.2">
      <c r="A171"/>
      <c r="B171" s="100"/>
      <c r="C171" s="101"/>
      <c r="D171" s="101"/>
      <c r="E171" s="101"/>
      <c r="F171" s="101"/>
      <c r="G171" s="101"/>
      <c r="H171" s="101"/>
      <c r="I171" s="101"/>
      <c r="J171" s="101"/>
      <c r="K171" s="101"/>
      <c r="L171" s="101"/>
      <c r="M171" s="101"/>
      <c r="N171" s="101"/>
      <c r="O171" s="101"/>
      <c r="Q171"/>
      <c r="R171"/>
      <c r="S171"/>
      <c r="T171"/>
      <c r="U171"/>
    </row>
    <row r="172" spans="1:21" s="1" customFormat="1" ht="18" customHeight="1" x14ac:dyDescent="0.2">
      <c r="A172"/>
      <c r="B172" s="109" t="s">
        <v>229</v>
      </c>
      <c r="C172" s="116" t="str">
        <f>C$5</f>
        <v>2023A</v>
      </c>
      <c r="D172" s="116" t="str">
        <f t="shared" ref="D172:O172" si="118">D$5</f>
        <v>2024A</v>
      </c>
      <c r="E172" s="116" t="str">
        <f t="shared" si="118"/>
        <v>2025A</v>
      </c>
      <c r="F172" s="116" t="str">
        <f t="shared" si="118"/>
        <v>2026P</v>
      </c>
      <c r="G172" s="116" t="str">
        <f t="shared" si="118"/>
        <v>2027P</v>
      </c>
      <c r="H172" s="116" t="str">
        <f t="shared" si="118"/>
        <v>2028P</v>
      </c>
      <c r="I172" s="116" t="str">
        <f t="shared" si="118"/>
        <v xml:space="preserve">2029P </v>
      </c>
      <c r="J172" s="116" t="str">
        <f t="shared" si="118"/>
        <v>2030P</v>
      </c>
      <c r="K172" s="116" t="str">
        <f t="shared" si="118"/>
        <v>2031P</v>
      </c>
      <c r="L172" s="116" t="str">
        <f t="shared" si="118"/>
        <v>2032P</v>
      </c>
      <c r="M172" s="116" t="str">
        <f t="shared" si="118"/>
        <v xml:space="preserve">2033P </v>
      </c>
      <c r="N172" s="116" t="str">
        <f t="shared" si="118"/>
        <v>2034P</v>
      </c>
      <c r="O172" s="116" t="str">
        <f t="shared" si="118"/>
        <v>2035P</v>
      </c>
      <c r="Q172"/>
      <c r="R172"/>
      <c r="S172"/>
      <c r="T172"/>
      <c r="U172"/>
    </row>
    <row r="173" spans="1:21" s="1" customFormat="1" ht="18" customHeight="1" outlineLevel="1" x14ac:dyDescent="0.2">
      <c r="A173"/>
      <c r="B173" s="100" t="s">
        <v>230</v>
      </c>
      <c r="C173" s="107"/>
      <c r="D173" s="101"/>
      <c r="E173" s="101"/>
      <c r="F173" s="101">
        <f t="shared" ref="F173:O173" si="119">E176</f>
        <v>1318</v>
      </c>
      <c r="G173" s="101">
        <f t="shared" si="119"/>
        <v>1504.335</v>
      </c>
      <c r="H173" s="101">
        <f t="shared" si="119"/>
        <v>1599.5768130000001</v>
      </c>
      <c r="I173" s="101">
        <f t="shared" si="119"/>
        <v>1619.3711846614001</v>
      </c>
      <c r="J173" s="101">
        <f t="shared" si="119"/>
        <v>1635.111727288215</v>
      </c>
      <c r="K173" s="101">
        <f t="shared" si="119"/>
        <v>1641.6046678525918</v>
      </c>
      <c r="L173" s="101">
        <f t="shared" si="119"/>
        <v>1648.4079709759458</v>
      </c>
      <c r="M173" s="101">
        <f t="shared" si="119"/>
        <v>1695.5364719885961</v>
      </c>
      <c r="N173" s="101">
        <f t="shared" si="119"/>
        <v>1724.917715349651</v>
      </c>
      <c r="O173" s="101">
        <f t="shared" si="119"/>
        <v>1755.7033821433643</v>
      </c>
      <c r="Q173"/>
      <c r="R173"/>
      <c r="S173"/>
      <c r="T173"/>
      <c r="U173"/>
    </row>
    <row r="174" spans="1:21" s="1" customFormat="1" ht="18" customHeight="1" outlineLevel="1" x14ac:dyDescent="0.2">
      <c r="A174"/>
      <c r="B174" s="100" t="s">
        <v>231</v>
      </c>
      <c r="C174" s="101"/>
      <c r="D174" s="101"/>
      <c r="E174" s="101"/>
      <c r="F174" s="101">
        <f>-(F183-F184)</f>
        <v>-313.66500000000002</v>
      </c>
      <c r="G174" s="101">
        <f t="shared" ref="G174:O174" si="120">-(G183-G184)</f>
        <v>-404.75818700000002</v>
      </c>
      <c r="H174" s="101">
        <f t="shared" si="120"/>
        <v>-505.20562833859998</v>
      </c>
      <c r="I174" s="101">
        <f t="shared" si="120"/>
        <v>-634.25945737318511</v>
      </c>
      <c r="J174" s="101">
        <f t="shared" si="120"/>
        <v>-793.50705943562332</v>
      </c>
      <c r="K174" s="101">
        <f t="shared" si="120"/>
        <v>-993.19669687664612</v>
      </c>
      <c r="L174" s="101">
        <f t="shared" si="120"/>
        <v>-1252.8714989873497</v>
      </c>
      <c r="M174" s="101">
        <f t="shared" si="120"/>
        <v>-1570.6187566389451</v>
      </c>
      <c r="N174" s="101">
        <f t="shared" si="120"/>
        <v>-1969.2143332062867</v>
      </c>
      <c r="O174" s="101">
        <f t="shared" si="120"/>
        <v>-2467.742778333547</v>
      </c>
      <c r="Q174"/>
      <c r="R174"/>
      <c r="S174"/>
      <c r="T174"/>
      <c r="U174"/>
    </row>
    <row r="175" spans="1:21" s="1" customFormat="1" ht="18" customHeight="1" outlineLevel="1" x14ac:dyDescent="0.2">
      <c r="A175"/>
      <c r="B175" s="100" t="s">
        <v>232</v>
      </c>
      <c r="C175" s="114"/>
      <c r="D175" s="114"/>
      <c r="E175" s="114"/>
      <c r="F175" s="101">
        <f t="shared" ref="F175:O175" si="121">F180</f>
        <v>500</v>
      </c>
      <c r="G175" s="101">
        <f t="shared" si="121"/>
        <v>500</v>
      </c>
      <c r="H175" s="101">
        <f t="shared" si="121"/>
        <v>525</v>
      </c>
      <c r="I175" s="101">
        <f t="shared" si="121"/>
        <v>650</v>
      </c>
      <c r="J175" s="101">
        <f t="shared" si="121"/>
        <v>800</v>
      </c>
      <c r="K175" s="101">
        <f t="shared" si="121"/>
        <v>1000</v>
      </c>
      <c r="L175" s="101">
        <f t="shared" si="121"/>
        <v>1300</v>
      </c>
      <c r="M175" s="101">
        <f t="shared" si="121"/>
        <v>1600</v>
      </c>
      <c r="N175" s="101">
        <f t="shared" si="121"/>
        <v>2000</v>
      </c>
      <c r="O175" s="101">
        <f t="shared" si="121"/>
        <v>2500</v>
      </c>
      <c r="Q175"/>
      <c r="R175"/>
      <c r="S175"/>
      <c r="T175"/>
      <c r="U175"/>
    </row>
    <row r="176" spans="1:21" s="1" customFormat="1" ht="18" customHeight="1" outlineLevel="1" x14ac:dyDescent="0.2">
      <c r="A176"/>
      <c r="B176" s="100" t="s">
        <v>233</v>
      </c>
      <c r="C176" s="107">
        <v>463</v>
      </c>
      <c r="D176" s="107">
        <v>1325</v>
      </c>
      <c r="E176" s="107">
        <f>1318</f>
        <v>1318</v>
      </c>
      <c r="F176" s="101">
        <f t="shared" ref="F176:O176" si="122">SUM(F173:F175)</f>
        <v>1504.335</v>
      </c>
      <c r="G176" s="101">
        <f t="shared" si="122"/>
        <v>1599.5768130000001</v>
      </c>
      <c r="H176" s="101">
        <f t="shared" si="122"/>
        <v>1619.3711846614001</v>
      </c>
      <c r="I176" s="101">
        <f t="shared" si="122"/>
        <v>1635.111727288215</v>
      </c>
      <c r="J176" s="101">
        <f t="shared" si="122"/>
        <v>1641.6046678525918</v>
      </c>
      <c r="K176" s="101">
        <f t="shared" si="122"/>
        <v>1648.4079709759458</v>
      </c>
      <c r="L176" s="101">
        <f t="shared" si="122"/>
        <v>1695.5364719885961</v>
      </c>
      <c r="M176" s="101">
        <f t="shared" si="122"/>
        <v>1724.917715349651</v>
      </c>
      <c r="N176" s="101">
        <f t="shared" si="122"/>
        <v>1755.7033821433643</v>
      </c>
      <c r="O176" s="101">
        <f t="shared" si="122"/>
        <v>1787.9606038098173</v>
      </c>
      <c r="Q176"/>
      <c r="R176"/>
      <c r="S176"/>
      <c r="T176"/>
      <c r="U176"/>
    </row>
    <row r="177" spans="1:21" s="1" customFormat="1" ht="18" customHeight="1" outlineLevel="1" x14ac:dyDescent="0.2">
      <c r="A177"/>
      <c r="B177" s="100" t="s">
        <v>234</v>
      </c>
      <c r="C177" s="101">
        <f>C176-C181</f>
        <v>44</v>
      </c>
      <c r="D177" s="101">
        <f t="shared" ref="D177:O177" si="123">D176-D181</f>
        <v>-25</v>
      </c>
      <c r="E177" s="101">
        <f t="shared" si="123"/>
        <v>-7</v>
      </c>
      <c r="F177" s="101">
        <f t="shared" si="123"/>
        <v>-7</v>
      </c>
      <c r="G177" s="101">
        <f t="shared" si="123"/>
        <v>-7</v>
      </c>
      <c r="H177" s="101">
        <f t="shared" si="123"/>
        <v>-7</v>
      </c>
      <c r="I177" s="101">
        <f t="shared" si="123"/>
        <v>-7</v>
      </c>
      <c r="J177" s="101">
        <f t="shared" si="123"/>
        <v>-7</v>
      </c>
      <c r="K177" s="101">
        <f t="shared" si="123"/>
        <v>-7</v>
      </c>
      <c r="L177" s="101">
        <f t="shared" si="123"/>
        <v>-7</v>
      </c>
      <c r="M177" s="101">
        <f t="shared" si="123"/>
        <v>-7</v>
      </c>
      <c r="N177" s="101">
        <f t="shared" si="123"/>
        <v>-7</v>
      </c>
      <c r="O177" s="101">
        <f t="shared" si="123"/>
        <v>-7</v>
      </c>
      <c r="Q177"/>
      <c r="R177"/>
      <c r="S177"/>
      <c r="T177"/>
      <c r="U177"/>
    </row>
    <row r="178" spans="1:21" s="1" customFormat="1" ht="18" customHeight="1" outlineLevel="1" x14ac:dyDescent="0.2">
      <c r="A178"/>
      <c r="B178" s="100" t="s">
        <v>235</v>
      </c>
      <c r="C178" s="107">
        <v>463</v>
      </c>
      <c r="D178" s="101">
        <f>C181</f>
        <v>419</v>
      </c>
      <c r="E178" s="101">
        <f t="shared" ref="E178:O178" si="124">D181</f>
        <v>1350</v>
      </c>
      <c r="F178" s="101">
        <f t="shared" si="124"/>
        <v>1325</v>
      </c>
      <c r="G178" s="101">
        <f t="shared" si="124"/>
        <v>1511.335</v>
      </c>
      <c r="H178" s="101">
        <f t="shared" si="124"/>
        <v>1606.5768130000001</v>
      </c>
      <c r="I178" s="101">
        <f t="shared" si="124"/>
        <v>1626.3711846614001</v>
      </c>
      <c r="J178" s="101">
        <f t="shared" si="124"/>
        <v>1642.111727288215</v>
      </c>
      <c r="K178" s="101">
        <f t="shared" si="124"/>
        <v>1648.6046678525918</v>
      </c>
      <c r="L178" s="101">
        <f t="shared" si="124"/>
        <v>1655.4079709759458</v>
      </c>
      <c r="M178" s="101">
        <f t="shared" si="124"/>
        <v>1702.5364719885961</v>
      </c>
      <c r="N178" s="101">
        <f t="shared" si="124"/>
        <v>1731.917715349651</v>
      </c>
      <c r="O178" s="101">
        <f t="shared" si="124"/>
        <v>1762.7033821433643</v>
      </c>
      <c r="Q178"/>
      <c r="R178"/>
      <c r="S178"/>
      <c r="T178"/>
      <c r="U178"/>
    </row>
    <row r="179" spans="1:21" s="1" customFormat="1" ht="18" customHeight="1" outlineLevel="1" x14ac:dyDescent="0.2">
      <c r="A179"/>
      <c r="B179" s="100" t="s">
        <v>236</v>
      </c>
      <c r="C179" s="101">
        <f>-(C183-C184)</f>
        <v>-72.942999999999998</v>
      </c>
      <c r="D179" s="101">
        <f t="shared" ref="D179:O179" si="125">-(D183-D184)</f>
        <v>-164.75110000000001</v>
      </c>
      <c r="E179" s="101">
        <f t="shared" si="125"/>
        <v>-212.47</v>
      </c>
      <c r="F179" s="101">
        <f t="shared" si="125"/>
        <v>-313.66500000000002</v>
      </c>
      <c r="G179" s="101">
        <f t="shared" si="125"/>
        <v>-404.75818700000002</v>
      </c>
      <c r="H179" s="101">
        <f t="shared" si="125"/>
        <v>-505.20562833859998</v>
      </c>
      <c r="I179" s="101">
        <f t="shared" si="125"/>
        <v>-634.25945737318511</v>
      </c>
      <c r="J179" s="101">
        <f t="shared" si="125"/>
        <v>-793.50705943562332</v>
      </c>
      <c r="K179" s="101">
        <f t="shared" si="125"/>
        <v>-993.19669687664612</v>
      </c>
      <c r="L179" s="101">
        <f t="shared" si="125"/>
        <v>-1252.8714989873497</v>
      </c>
      <c r="M179" s="101">
        <f t="shared" si="125"/>
        <v>-1570.6187566389451</v>
      </c>
      <c r="N179" s="101">
        <f t="shared" si="125"/>
        <v>-1969.2143332062867</v>
      </c>
      <c r="O179" s="101">
        <f t="shared" si="125"/>
        <v>-2467.742778333547</v>
      </c>
      <c r="Q179"/>
      <c r="R179"/>
      <c r="S179"/>
      <c r="T179"/>
      <c r="U179"/>
    </row>
    <row r="180" spans="1:21" s="1" customFormat="1" ht="18" customHeight="1" outlineLevel="1" x14ac:dyDescent="0.2">
      <c r="A180"/>
      <c r="B180" s="100" t="s">
        <v>237</v>
      </c>
      <c r="C180" s="101">
        <f>C181-C178-C179</f>
        <v>28.942999999999998</v>
      </c>
      <c r="D180" s="101">
        <f t="shared" ref="D180:E180" si="126">D181-D178-D179</f>
        <v>1095.7511</v>
      </c>
      <c r="E180" s="101">
        <f t="shared" si="126"/>
        <v>187.47</v>
      </c>
      <c r="F180" s="114">
        <v>500</v>
      </c>
      <c r="G180" s="114">
        <v>500</v>
      </c>
      <c r="H180" s="114">
        <v>525</v>
      </c>
      <c r="I180" s="114">
        <v>650</v>
      </c>
      <c r="J180" s="114">
        <v>800</v>
      </c>
      <c r="K180" s="114">
        <v>1000</v>
      </c>
      <c r="L180" s="114">
        <v>1300</v>
      </c>
      <c r="M180" s="114">
        <v>1600</v>
      </c>
      <c r="N180" s="114">
        <v>2000</v>
      </c>
      <c r="O180" s="114">
        <v>2500</v>
      </c>
      <c r="Q180"/>
      <c r="R180"/>
      <c r="S180"/>
      <c r="T180"/>
      <c r="U180"/>
    </row>
    <row r="181" spans="1:21" s="1" customFormat="1" ht="18" customHeight="1" outlineLevel="1" x14ac:dyDescent="0.2">
      <c r="A181"/>
      <c r="B181" s="100" t="s">
        <v>238</v>
      </c>
      <c r="C181" s="107">
        <f>60+359</f>
        <v>419</v>
      </c>
      <c r="D181" s="107">
        <f>1143+207</f>
        <v>1350</v>
      </c>
      <c r="E181" s="107">
        <f>1181+144</f>
        <v>1325</v>
      </c>
      <c r="F181" s="101">
        <f t="shared" ref="F181:O181" si="127">SUM(F178:F180)</f>
        <v>1511.335</v>
      </c>
      <c r="G181" s="101">
        <f t="shared" si="127"/>
        <v>1606.5768130000001</v>
      </c>
      <c r="H181" s="101">
        <f t="shared" si="127"/>
        <v>1626.3711846614001</v>
      </c>
      <c r="I181" s="101">
        <f t="shared" si="127"/>
        <v>1642.111727288215</v>
      </c>
      <c r="J181" s="101">
        <f t="shared" si="127"/>
        <v>1648.6046678525918</v>
      </c>
      <c r="K181" s="101">
        <f t="shared" si="127"/>
        <v>1655.4079709759458</v>
      </c>
      <c r="L181" s="101">
        <f t="shared" si="127"/>
        <v>1702.5364719885961</v>
      </c>
      <c r="M181" s="101">
        <f t="shared" si="127"/>
        <v>1731.917715349651</v>
      </c>
      <c r="N181" s="101">
        <f t="shared" si="127"/>
        <v>1762.7033821433643</v>
      </c>
      <c r="O181" s="101">
        <f t="shared" si="127"/>
        <v>1794.9606038098173</v>
      </c>
      <c r="Q181"/>
      <c r="R181"/>
      <c r="S181"/>
      <c r="T181"/>
      <c r="U181"/>
    </row>
    <row r="182" spans="1:21" s="1" customFormat="1" ht="18" customHeight="1" outlineLevel="1" x14ac:dyDescent="0.2">
      <c r="A182"/>
      <c r="B182"/>
      <c r="C182" s="101"/>
      <c r="D182" s="101"/>
      <c r="E182" s="101"/>
      <c r="F182" s="101"/>
      <c r="G182" s="101"/>
      <c r="H182" s="101"/>
      <c r="I182" s="101"/>
      <c r="J182" s="101"/>
      <c r="K182" s="101"/>
      <c r="L182" s="101"/>
      <c r="M182" s="101"/>
      <c r="N182" s="101"/>
      <c r="O182" s="101"/>
      <c r="Q182"/>
      <c r="R182"/>
      <c r="S182"/>
      <c r="T182"/>
      <c r="U182"/>
    </row>
    <row r="183" spans="1:21" s="1" customFormat="1" ht="18" customHeight="1" outlineLevel="1" x14ac:dyDescent="0.2">
      <c r="A183"/>
      <c r="B183" s="100" t="s">
        <v>239</v>
      </c>
      <c r="C183" s="107">
        <v>91</v>
      </c>
      <c r="D183" s="107">
        <v>187</v>
      </c>
      <c r="E183" s="107">
        <v>277</v>
      </c>
      <c r="F183" s="101">
        <f t="shared" ref="F183:O183" si="128">E183+F185*F180</f>
        <v>377</v>
      </c>
      <c r="G183" s="101">
        <f>F183+G185*G180</f>
        <v>477</v>
      </c>
      <c r="H183" s="101">
        <f t="shared" si="128"/>
        <v>582</v>
      </c>
      <c r="I183" s="101">
        <f t="shared" si="128"/>
        <v>712</v>
      </c>
      <c r="J183" s="101">
        <f t="shared" si="128"/>
        <v>872</v>
      </c>
      <c r="K183" s="101">
        <f t="shared" si="128"/>
        <v>1072</v>
      </c>
      <c r="L183" s="101">
        <f t="shared" si="128"/>
        <v>1332</v>
      </c>
      <c r="M183" s="101">
        <f t="shared" si="128"/>
        <v>1652</v>
      </c>
      <c r="N183" s="101">
        <f t="shared" si="128"/>
        <v>2052</v>
      </c>
      <c r="O183" s="101">
        <f t="shared" si="128"/>
        <v>2552</v>
      </c>
      <c r="Q183"/>
      <c r="R183"/>
      <c r="S183"/>
      <c r="T183"/>
      <c r="U183"/>
    </row>
    <row r="184" spans="1:21" s="1" customFormat="1" ht="18" customHeight="1" outlineLevel="1" x14ac:dyDescent="0.2">
      <c r="A184"/>
      <c r="B184" s="100" t="s">
        <v>240</v>
      </c>
      <c r="C184" s="101">
        <f>C178*C186</f>
        <v>18.056999999999999</v>
      </c>
      <c r="D184" s="101">
        <f t="shared" ref="D184:E184" si="129">D178*D186</f>
        <v>22.248899999999999</v>
      </c>
      <c r="E184" s="101">
        <f t="shared" si="129"/>
        <v>64.53</v>
      </c>
      <c r="F184" s="101">
        <f t="shared" ref="F184:O184" si="130">F186*F178</f>
        <v>63.335000000000001</v>
      </c>
      <c r="G184" s="101">
        <f t="shared" si="130"/>
        <v>72.241813000000008</v>
      </c>
      <c r="H184" s="101">
        <f t="shared" si="130"/>
        <v>76.794371661400007</v>
      </c>
      <c r="I184" s="101">
        <f t="shared" si="130"/>
        <v>77.740542626814928</v>
      </c>
      <c r="J184" s="101">
        <f t="shared" si="130"/>
        <v>78.492940564376681</v>
      </c>
      <c r="K184" s="101">
        <f t="shared" si="130"/>
        <v>78.803303123353885</v>
      </c>
      <c r="L184" s="101">
        <f t="shared" si="130"/>
        <v>79.128501012650219</v>
      </c>
      <c r="M184" s="101">
        <f t="shared" si="130"/>
        <v>81.381243361054899</v>
      </c>
      <c r="N184" s="101">
        <f t="shared" si="130"/>
        <v>82.785666793713318</v>
      </c>
      <c r="O184" s="101">
        <f t="shared" si="130"/>
        <v>84.257221666452821</v>
      </c>
      <c r="Q184"/>
      <c r="R184"/>
      <c r="S184"/>
      <c r="T184"/>
      <c r="U184"/>
    </row>
    <row r="185" spans="1:21" s="1" customFormat="1" ht="18" customHeight="1" outlineLevel="1" x14ac:dyDescent="0.2">
      <c r="A185"/>
      <c r="B185" s="100" t="s">
        <v>241</v>
      </c>
      <c r="C185" s="113">
        <f>C183/C178</f>
        <v>0.19654427645788336</v>
      </c>
      <c r="D185" s="113">
        <f t="shared" ref="D185" si="131">D183/D178</f>
        <v>0.44630071599045346</v>
      </c>
      <c r="E185" s="113">
        <f>E183/E178</f>
        <v>0.20518518518518519</v>
      </c>
      <c r="F185" s="115">
        <v>0.2</v>
      </c>
      <c r="G185" s="115">
        <v>0.2</v>
      </c>
      <c r="H185" s="115">
        <v>0.2</v>
      </c>
      <c r="I185" s="115">
        <v>0.2</v>
      </c>
      <c r="J185" s="115">
        <v>0.2</v>
      </c>
      <c r="K185" s="115">
        <v>0.2</v>
      </c>
      <c r="L185" s="115">
        <v>0.2</v>
      </c>
      <c r="M185" s="115">
        <v>0.2</v>
      </c>
      <c r="N185" s="115">
        <v>0.2</v>
      </c>
      <c r="O185" s="115">
        <v>0.2</v>
      </c>
      <c r="Q185"/>
      <c r="R185"/>
      <c r="S185"/>
      <c r="T185"/>
      <c r="U185"/>
    </row>
    <row r="186" spans="1:21" s="1" customFormat="1" ht="18" customHeight="1" outlineLevel="1" x14ac:dyDescent="0.2">
      <c r="A186"/>
      <c r="B186" s="100" t="s">
        <v>242</v>
      </c>
      <c r="C186" s="124">
        <v>3.9E-2</v>
      </c>
      <c r="D186" s="124">
        <v>5.3100000000000001E-2</v>
      </c>
      <c r="E186" s="124">
        <v>4.7800000000000002E-2</v>
      </c>
      <c r="F186" s="125">
        <f t="shared" ref="F186:O186" si="132">E186</f>
        <v>4.7800000000000002E-2</v>
      </c>
      <c r="G186" s="125">
        <f t="shared" si="132"/>
        <v>4.7800000000000002E-2</v>
      </c>
      <c r="H186" s="125">
        <f t="shared" si="132"/>
        <v>4.7800000000000002E-2</v>
      </c>
      <c r="I186" s="125">
        <f>H186</f>
        <v>4.7800000000000002E-2</v>
      </c>
      <c r="J186" s="125">
        <f t="shared" si="132"/>
        <v>4.7800000000000002E-2</v>
      </c>
      <c r="K186" s="125">
        <f t="shared" si="132"/>
        <v>4.7800000000000002E-2</v>
      </c>
      <c r="L186" s="125">
        <f t="shared" si="132"/>
        <v>4.7800000000000002E-2</v>
      </c>
      <c r="M186" s="125">
        <f t="shared" si="132"/>
        <v>4.7800000000000002E-2</v>
      </c>
      <c r="N186" s="125">
        <f t="shared" si="132"/>
        <v>4.7800000000000002E-2</v>
      </c>
      <c r="O186" s="125">
        <f t="shared" si="132"/>
        <v>4.7800000000000002E-2</v>
      </c>
      <c r="Q186"/>
      <c r="R186"/>
      <c r="S186"/>
      <c r="T186"/>
      <c r="U186"/>
    </row>
    <row r="187" spans="1:21" s="1" customFormat="1" ht="18" customHeight="1" outlineLevel="1" x14ac:dyDescent="0.2">
      <c r="A187"/>
      <c r="B187" s="100"/>
      <c r="C187" s="113"/>
      <c r="D187" s="113"/>
      <c r="E187" s="113"/>
      <c r="F187" s="115"/>
      <c r="G187" s="115"/>
      <c r="H187" s="115"/>
      <c r="I187" s="115"/>
      <c r="J187" s="115"/>
      <c r="K187" s="115"/>
      <c r="L187" s="115"/>
      <c r="M187" s="115"/>
      <c r="N187" s="115"/>
      <c r="O187" s="115"/>
      <c r="Q187"/>
      <c r="R187"/>
      <c r="S187"/>
      <c r="T187"/>
      <c r="U187"/>
    </row>
    <row r="188" spans="1:21" s="1" customFormat="1" ht="18" customHeight="1" x14ac:dyDescent="0.2">
      <c r="A188"/>
      <c r="B188" s="109" t="s">
        <v>243</v>
      </c>
      <c r="C188" s="116" t="str">
        <f>C$5</f>
        <v>2023A</v>
      </c>
      <c r="D188" s="116" t="str">
        <f t="shared" ref="D188:O188" si="133">D$5</f>
        <v>2024A</v>
      </c>
      <c r="E188" s="116" t="str">
        <f t="shared" si="133"/>
        <v>2025A</v>
      </c>
      <c r="F188" s="116" t="str">
        <f t="shared" si="133"/>
        <v>2026P</v>
      </c>
      <c r="G188" s="116" t="str">
        <f t="shared" si="133"/>
        <v>2027P</v>
      </c>
      <c r="H188" s="116" t="str">
        <f t="shared" si="133"/>
        <v>2028P</v>
      </c>
      <c r="I188" s="116" t="str">
        <f t="shared" si="133"/>
        <v xml:space="preserve">2029P </v>
      </c>
      <c r="J188" s="116" t="str">
        <f t="shared" si="133"/>
        <v>2030P</v>
      </c>
      <c r="K188" s="116" t="str">
        <f t="shared" si="133"/>
        <v>2031P</v>
      </c>
      <c r="L188" s="116" t="str">
        <f t="shared" si="133"/>
        <v>2032P</v>
      </c>
      <c r="M188" s="116" t="str">
        <f t="shared" si="133"/>
        <v xml:space="preserve">2033P </v>
      </c>
      <c r="N188" s="116" t="str">
        <f t="shared" si="133"/>
        <v>2034P</v>
      </c>
      <c r="O188" s="116" t="str">
        <f t="shared" si="133"/>
        <v>2035P</v>
      </c>
      <c r="Q188"/>
      <c r="R188"/>
      <c r="S188"/>
      <c r="T188"/>
      <c r="U188"/>
    </row>
    <row r="189" spans="1:21" s="1" customFormat="1" ht="19" customHeight="1" outlineLevel="1" x14ac:dyDescent="0.2">
      <c r="A189"/>
      <c r="B189" s="100" t="s">
        <v>244</v>
      </c>
      <c r="C189" s="107">
        <v>2223</v>
      </c>
      <c r="D189" s="101">
        <f t="shared" ref="D189:O189" si="134">C194</f>
        <v>2154</v>
      </c>
      <c r="E189" s="101">
        <f t="shared" si="134"/>
        <v>2521</v>
      </c>
      <c r="F189" s="101">
        <f t="shared" si="134"/>
        <v>2530</v>
      </c>
      <c r="G189" s="101">
        <f t="shared" si="134"/>
        <v>3460.5086740000002</v>
      </c>
      <c r="H189" s="101">
        <f t="shared" si="134"/>
        <v>5332.0278386999998</v>
      </c>
      <c r="I189" s="101">
        <f t="shared" si="134"/>
        <v>8112.3011008649992</v>
      </c>
      <c r="J189" s="101">
        <f t="shared" si="134"/>
        <v>10654.112056999949</v>
      </c>
      <c r="K189" s="101">
        <f t="shared" si="134"/>
        <v>13890.471092667865</v>
      </c>
      <c r="L189" s="101">
        <f t="shared" si="134"/>
        <v>16664.380579835797</v>
      </c>
      <c r="M189" s="101">
        <f t="shared" si="134"/>
        <v>19086.035023989054</v>
      </c>
      <c r="N189" s="101">
        <f t="shared" si="134"/>
        <v>22705.075326960512</v>
      </c>
      <c r="O189" s="101">
        <f t="shared" si="134"/>
        <v>25722.959427580026</v>
      </c>
      <c r="Q189"/>
      <c r="R189"/>
      <c r="S189"/>
      <c r="T189"/>
      <c r="U189"/>
    </row>
    <row r="190" spans="1:21" s="1" customFormat="1" ht="19" customHeight="1" outlineLevel="1" x14ac:dyDescent="0.2">
      <c r="A190"/>
      <c r="B190" s="100" t="s">
        <v>245</v>
      </c>
      <c r="C190" s="101">
        <f>C192-C191</f>
        <v>0</v>
      </c>
      <c r="D190" s="101">
        <f t="shared" ref="D190:O190" si="135">D192-D191</f>
        <v>0</v>
      </c>
      <c r="E190" s="101">
        <f t="shared" si="135"/>
        <v>49</v>
      </c>
      <c r="F190" s="101">
        <f t="shared" si="135"/>
        <v>930.50867400000016</v>
      </c>
      <c r="G190" s="101">
        <f t="shared" si="135"/>
        <v>1871.5191646999997</v>
      </c>
      <c r="H190" s="101">
        <f t="shared" si="135"/>
        <v>2780.2732621650002</v>
      </c>
      <c r="I190" s="101">
        <f t="shared" si="135"/>
        <v>2541.8109561349493</v>
      </c>
      <c r="J190" s="101">
        <f t="shared" si="135"/>
        <v>3236.3590356679138</v>
      </c>
      <c r="K190" s="101">
        <f t="shared" si="135"/>
        <v>2773.9094871679295</v>
      </c>
      <c r="L190" s="101">
        <f t="shared" si="135"/>
        <v>2421.6544441532587</v>
      </c>
      <c r="M190" s="101">
        <f t="shared" si="135"/>
        <v>3619.0403029714589</v>
      </c>
      <c r="N190" s="101">
        <f t="shared" si="135"/>
        <v>3017.8841006195144</v>
      </c>
      <c r="O190" s="101">
        <f t="shared" si="135"/>
        <v>2529.3583272855449</v>
      </c>
      <c r="Q190"/>
      <c r="R190"/>
      <c r="S190"/>
      <c r="T190"/>
      <c r="U190"/>
    </row>
    <row r="191" spans="1:21" s="1" customFormat="1" ht="18" customHeight="1" outlineLevel="1" x14ac:dyDescent="0.35">
      <c r="A191"/>
      <c r="B191" s="100" t="s">
        <v>246</v>
      </c>
      <c r="C191" s="102">
        <f>IF(C192&gt;-C193,-C193,C192)</f>
        <v>452</v>
      </c>
      <c r="D191" s="102">
        <f t="shared" ref="D191:O191" si="136">IF(D192&gt;-D193,-D193,D192)</f>
        <v>548</v>
      </c>
      <c r="E191" s="102">
        <f t="shared" si="136"/>
        <v>574</v>
      </c>
      <c r="F191" s="102">
        <f t="shared" si="136"/>
        <v>632.5</v>
      </c>
      <c r="G191" s="102">
        <f t="shared" si="136"/>
        <v>865.12716850000004</v>
      </c>
      <c r="H191" s="102">
        <f t="shared" si="136"/>
        <v>1333.006959675</v>
      </c>
      <c r="I191" s="102">
        <f t="shared" si="136"/>
        <v>2028.0752752162498</v>
      </c>
      <c r="J191" s="102">
        <f t="shared" si="136"/>
        <v>2983.1513759599861</v>
      </c>
      <c r="K191" s="102">
        <f t="shared" si="136"/>
        <v>3889.3319059470027</v>
      </c>
      <c r="L191" s="102">
        <f t="shared" si="136"/>
        <v>4666.0265623540236</v>
      </c>
      <c r="M191" s="102">
        <f t="shared" si="136"/>
        <v>5344.0898067169355</v>
      </c>
      <c r="N191" s="102">
        <f t="shared" si="136"/>
        <v>6357.4210915489439</v>
      </c>
      <c r="O191" s="102">
        <f t="shared" si="136"/>
        <v>7202.4286397224078</v>
      </c>
      <c r="Q191"/>
      <c r="R191"/>
      <c r="S191"/>
      <c r="T191"/>
      <c r="U191"/>
    </row>
    <row r="192" spans="1:21" s="1" customFormat="1" ht="19" customHeight="1" outlineLevel="1" x14ac:dyDescent="0.2">
      <c r="A192"/>
      <c r="B192" s="100" t="s">
        <v>247</v>
      </c>
      <c r="C192" s="107">
        <v>452</v>
      </c>
      <c r="D192" s="107">
        <v>548</v>
      </c>
      <c r="E192" s="107">
        <v>623</v>
      </c>
      <c r="F192" s="101">
        <f t="shared" ref="F192:O192" si="137">F195*F14</f>
        <v>1563.0086740000002</v>
      </c>
      <c r="G192" s="101">
        <f t="shared" si="137"/>
        <v>2736.6463331999998</v>
      </c>
      <c r="H192" s="101">
        <f t="shared" si="137"/>
        <v>4113.2802218400002</v>
      </c>
      <c r="I192" s="101">
        <f t="shared" si="137"/>
        <v>4569.8862313511991</v>
      </c>
      <c r="J192" s="101">
        <f t="shared" si="137"/>
        <v>6219.5104116278999</v>
      </c>
      <c r="K192" s="101">
        <f t="shared" si="137"/>
        <v>6663.2413931149322</v>
      </c>
      <c r="L192" s="101">
        <f t="shared" si="137"/>
        <v>7087.6810065072823</v>
      </c>
      <c r="M192" s="101">
        <f t="shared" si="137"/>
        <v>8963.1301096883944</v>
      </c>
      <c r="N192" s="101">
        <f t="shared" si="137"/>
        <v>9375.3051921684582</v>
      </c>
      <c r="O192" s="101">
        <f t="shared" si="137"/>
        <v>9731.7869670079526</v>
      </c>
      <c r="Q192"/>
      <c r="R192"/>
      <c r="S192"/>
      <c r="T192"/>
      <c r="U192"/>
    </row>
    <row r="193" spans="1:21" s="1" customFormat="1" ht="19" customHeight="1" outlineLevel="1" x14ac:dyDescent="0.35">
      <c r="A193"/>
      <c r="B193" s="100" t="s">
        <v>248</v>
      </c>
      <c r="C193" s="108">
        <v>-502</v>
      </c>
      <c r="D193" s="108">
        <v>-593</v>
      </c>
      <c r="E193" s="108">
        <v>-574</v>
      </c>
      <c r="F193" s="102">
        <f t="shared" ref="F193:O193" si="138">-F196*F189</f>
        <v>-632.5</v>
      </c>
      <c r="G193" s="102">
        <f t="shared" si="138"/>
        <v>-865.12716850000004</v>
      </c>
      <c r="H193" s="102">
        <f t="shared" si="138"/>
        <v>-1333.006959675</v>
      </c>
      <c r="I193" s="102">
        <f t="shared" si="138"/>
        <v>-2028.0752752162498</v>
      </c>
      <c r="J193" s="102">
        <f t="shared" si="138"/>
        <v>-2983.1513759599861</v>
      </c>
      <c r="K193" s="102">
        <f t="shared" si="138"/>
        <v>-3889.3319059470027</v>
      </c>
      <c r="L193" s="102">
        <f t="shared" si="138"/>
        <v>-4666.0265623540236</v>
      </c>
      <c r="M193" s="102">
        <f t="shared" si="138"/>
        <v>-5344.0898067169355</v>
      </c>
      <c r="N193" s="102">
        <f t="shared" si="138"/>
        <v>-6357.4210915489439</v>
      </c>
      <c r="O193" s="102">
        <f t="shared" si="138"/>
        <v>-7202.4286397224078</v>
      </c>
      <c r="Q193"/>
      <c r="R193"/>
      <c r="S193"/>
      <c r="T193"/>
      <c r="U193"/>
    </row>
    <row r="194" spans="1:21" ht="18" customHeight="1" outlineLevel="1" x14ac:dyDescent="0.2">
      <c r="B194" s="100" t="s">
        <v>249</v>
      </c>
      <c r="C194" s="107">
        <v>2154</v>
      </c>
      <c r="D194" s="107">
        <v>2521</v>
      </c>
      <c r="E194" s="107">
        <v>2530</v>
      </c>
      <c r="F194" s="101">
        <f t="shared" ref="F194:O194" si="139">F189+F192+F193</f>
        <v>3460.5086740000002</v>
      </c>
      <c r="G194" s="101">
        <f t="shared" si="139"/>
        <v>5332.0278386999998</v>
      </c>
      <c r="H194" s="101">
        <f t="shared" si="139"/>
        <v>8112.3011008649992</v>
      </c>
      <c r="I194" s="101">
        <f t="shared" si="139"/>
        <v>10654.112056999949</v>
      </c>
      <c r="J194" s="101">
        <f t="shared" si="139"/>
        <v>13890.471092667865</v>
      </c>
      <c r="K194" s="101">
        <f t="shared" si="139"/>
        <v>16664.380579835797</v>
      </c>
      <c r="L194" s="101">
        <f t="shared" si="139"/>
        <v>19086.035023989054</v>
      </c>
      <c r="M194" s="101">
        <f t="shared" si="139"/>
        <v>22705.075326960512</v>
      </c>
      <c r="N194" s="101">
        <f t="shared" si="139"/>
        <v>25722.959427580026</v>
      </c>
      <c r="O194" s="101">
        <f t="shared" si="139"/>
        <v>28252.317754865573</v>
      </c>
    </row>
    <row r="195" spans="1:21" ht="18" customHeight="1" outlineLevel="1" x14ac:dyDescent="0.2">
      <c r="B195" s="100" t="s">
        <v>250</v>
      </c>
      <c r="C195" s="113">
        <f>C192/C14</f>
        <v>1.2619001088807615E-2</v>
      </c>
      <c r="D195" s="113">
        <f>D192/D14</f>
        <v>1.062550897739171E-2</v>
      </c>
      <c r="E195" s="113">
        <f>E192/E14</f>
        <v>9.7515926557828671E-3</v>
      </c>
      <c r="F195" s="311">
        <v>0.02</v>
      </c>
      <c r="G195" s="311">
        <v>0.03</v>
      </c>
      <c r="H195" s="311">
        <v>0.04</v>
      </c>
      <c r="I195" s="311">
        <v>0.04</v>
      </c>
      <c r="J195" s="311">
        <v>0.05</v>
      </c>
      <c r="K195" s="311">
        <v>0.05</v>
      </c>
      <c r="L195" s="311">
        <v>0.05</v>
      </c>
      <c r="M195" s="311">
        <v>0.06</v>
      </c>
      <c r="N195" s="311">
        <v>0.06</v>
      </c>
      <c r="O195" s="311">
        <v>0.06</v>
      </c>
    </row>
    <row r="196" spans="1:21" ht="18" customHeight="1" outlineLevel="1" x14ac:dyDescent="0.2">
      <c r="B196" s="100" t="s">
        <v>251</v>
      </c>
      <c r="C196" s="113">
        <f>-C193/C189</f>
        <v>0.22582096266306792</v>
      </c>
      <c r="D196" s="113">
        <f t="shared" ref="D196:E196" si="140">-D193/D189</f>
        <v>0.27530176415970287</v>
      </c>
      <c r="E196" s="113">
        <f t="shared" si="140"/>
        <v>0.22768742562475208</v>
      </c>
      <c r="F196" s="311">
        <v>0.25</v>
      </c>
      <c r="G196" s="311">
        <v>0.25</v>
      </c>
      <c r="H196" s="311">
        <v>0.25</v>
      </c>
      <c r="I196" s="311">
        <v>0.25</v>
      </c>
      <c r="J196" s="311">
        <v>0.28000000000000003</v>
      </c>
      <c r="K196" s="311">
        <v>0.28000000000000003</v>
      </c>
      <c r="L196" s="311">
        <v>0.28000000000000003</v>
      </c>
      <c r="M196" s="311">
        <v>0.28000000000000003</v>
      </c>
      <c r="N196" s="311">
        <v>0.28000000000000003</v>
      </c>
      <c r="O196" s="311">
        <v>0.28000000000000003</v>
      </c>
    </row>
    <row r="197" spans="1:21" ht="18" customHeight="1" outlineLevel="1" x14ac:dyDescent="0.2">
      <c r="B197" s="100"/>
      <c r="C197" s="113"/>
      <c r="D197" s="113"/>
      <c r="E197" s="113"/>
      <c r="F197" s="115"/>
      <c r="G197" s="115"/>
      <c r="H197" s="115"/>
      <c r="I197" s="115"/>
      <c r="J197" s="115"/>
      <c r="K197" s="115"/>
      <c r="L197" s="115"/>
      <c r="M197" s="115"/>
      <c r="N197" s="115"/>
      <c r="O197" s="115"/>
    </row>
    <row r="198" spans="1:21" ht="18" customHeight="1" x14ac:dyDescent="0.2">
      <c r="B198" s="109" t="s">
        <v>252</v>
      </c>
      <c r="C198" s="116" t="str">
        <f t="shared" ref="C198:O198" si="141">C$5</f>
        <v>2023A</v>
      </c>
      <c r="D198" s="116" t="str">
        <f t="shared" si="141"/>
        <v>2024A</v>
      </c>
      <c r="E198" s="116" t="str">
        <f t="shared" si="141"/>
        <v>2025A</v>
      </c>
      <c r="F198" s="116" t="str">
        <f t="shared" si="141"/>
        <v>2026P</v>
      </c>
      <c r="G198" s="116" t="str">
        <f t="shared" si="141"/>
        <v>2027P</v>
      </c>
      <c r="H198" s="116" t="str">
        <f t="shared" si="141"/>
        <v>2028P</v>
      </c>
      <c r="I198" s="116" t="str">
        <f t="shared" si="141"/>
        <v xml:space="preserve">2029P </v>
      </c>
      <c r="J198" s="116" t="str">
        <f t="shared" si="141"/>
        <v>2030P</v>
      </c>
      <c r="K198" s="116" t="str">
        <f t="shared" si="141"/>
        <v>2031P</v>
      </c>
      <c r="L198" s="116" t="str">
        <f t="shared" si="141"/>
        <v>2032P</v>
      </c>
      <c r="M198" s="116" t="str">
        <f t="shared" si="141"/>
        <v xml:space="preserve">2033P </v>
      </c>
      <c r="N198" s="116" t="str">
        <f t="shared" si="141"/>
        <v>2034P</v>
      </c>
      <c r="O198" s="116" t="str">
        <f t="shared" si="141"/>
        <v>2035P</v>
      </c>
    </row>
    <row r="199" spans="1:21" ht="18" customHeight="1" outlineLevel="1" x14ac:dyDescent="0.2">
      <c r="B199" s="100" t="s">
        <v>253</v>
      </c>
      <c r="C199" s="207">
        <v>43614</v>
      </c>
      <c r="D199" s="208">
        <f t="shared" ref="D199:O199" si="142">C205</f>
        <v>43653</v>
      </c>
      <c r="E199" s="208">
        <f t="shared" si="142"/>
        <v>97873</v>
      </c>
      <c r="F199" s="208">
        <f t="shared" si="142"/>
        <v>97801</v>
      </c>
      <c r="G199" s="208">
        <f t="shared" si="142"/>
        <v>97801</v>
      </c>
      <c r="H199" s="208">
        <f t="shared" si="142"/>
        <v>97801</v>
      </c>
      <c r="I199" s="208">
        <f t="shared" si="142"/>
        <v>97801</v>
      </c>
      <c r="J199" s="208">
        <f t="shared" si="142"/>
        <v>97801</v>
      </c>
      <c r="K199" s="208">
        <f t="shared" si="142"/>
        <v>97801</v>
      </c>
      <c r="L199" s="208">
        <f t="shared" si="142"/>
        <v>97801</v>
      </c>
      <c r="M199" s="208">
        <f t="shared" si="142"/>
        <v>97801</v>
      </c>
      <c r="N199" s="208">
        <f t="shared" si="142"/>
        <v>97801</v>
      </c>
      <c r="O199" s="208">
        <f t="shared" si="142"/>
        <v>97801</v>
      </c>
    </row>
    <row r="200" spans="1:21" ht="18" customHeight="1" outlineLevel="1" x14ac:dyDescent="0.2">
      <c r="B200" s="100" t="s">
        <v>254</v>
      </c>
      <c r="C200" s="207">
        <v>0</v>
      </c>
      <c r="D200" s="207">
        <v>54206</v>
      </c>
      <c r="E200" s="208"/>
      <c r="F200" s="114"/>
      <c r="G200" s="114"/>
      <c r="H200" s="114"/>
      <c r="I200" s="114"/>
      <c r="J200" s="114"/>
      <c r="K200" s="114"/>
      <c r="L200" s="114"/>
      <c r="M200" s="114"/>
      <c r="N200" s="114"/>
      <c r="O200" s="114"/>
    </row>
    <row r="201" spans="1:21" ht="18" customHeight="1" outlineLevel="1" x14ac:dyDescent="0.2">
      <c r="B201" s="100" t="s">
        <v>255</v>
      </c>
      <c r="C201" s="207">
        <v>0</v>
      </c>
      <c r="D201" s="207">
        <v>14</v>
      </c>
      <c r="E201" s="208"/>
      <c r="F201" s="114"/>
      <c r="G201" s="114"/>
      <c r="H201" s="114"/>
      <c r="I201" s="114"/>
      <c r="J201" s="114"/>
      <c r="K201" s="114"/>
      <c r="L201" s="114"/>
      <c r="M201" s="114"/>
      <c r="N201" s="114"/>
      <c r="O201" s="114"/>
    </row>
    <row r="202" spans="1:21" ht="18" customHeight="1" outlineLevel="1" x14ac:dyDescent="0.2">
      <c r="B202" s="100" t="s">
        <v>256</v>
      </c>
      <c r="C202" s="207">
        <v>39</v>
      </c>
      <c r="D202" s="207">
        <v>0</v>
      </c>
      <c r="E202" s="207">
        <v>0</v>
      </c>
      <c r="F202" s="114">
        <v>0</v>
      </c>
      <c r="G202" s="114">
        <v>0</v>
      </c>
      <c r="H202" s="114">
        <v>0</v>
      </c>
      <c r="I202" s="114">
        <v>0</v>
      </c>
      <c r="J202" s="114">
        <v>0</v>
      </c>
      <c r="K202" s="114">
        <v>0</v>
      </c>
      <c r="L202" s="114">
        <v>0</v>
      </c>
      <c r="M202" s="114">
        <v>0</v>
      </c>
      <c r="N202" s="114">
        <v>0</v>
      </c>
      <c r="O202" s="114">
        <v>0</v>
      </c>
    </row>
    <row r="203" spans="1:21" ht="18" customHeight="1" outlineLevel="1" x14ac:dyDescent="0.2">
      <c r="B203" s="100" t="s">
        <v>257</v>
      </c>
      <c r="C203" s="207">
        <v>0</v>
      </c>
      <c r="D203" s="207">
        <v>0</v>
      </c>
      <c r="E203" s="207">
        <v>-72</v>
      </c>
      <c r="F203" s="114">
        <v>0</v>
      </c>
      <c r="G203" s="114">
        <v>0</v>
      </c>
      <c r="H203" s="114">
        <v>0</v>
      </c>
      <c r="I203" s="114">
        <v>0</v>
      </c>
      <c r="J203" s="114">
        <v>0</v>
      </c>
      <c r="K203" s="114">
        <v>0</v>
      </c>
      <c r="L203" s="114">
        <v>0</v>
      </c>
      <c r="M203" s="114">
        <v>0</v>
      </c>
      <c r="N203" s="114">
        <v>0</v>
      </c>
      <c r="O203" s="114">
        <v>0</v>
      </c>
    </row>
    <row r="204" spans="1:21" ht="18" customHeight="1" outlineLevel="1" x14ac:dyDescent="0.2">
      <c r="B204" s="100" t="s">
        <v>258</v>
      </c>
      <c r="C204" s="207">
        <v>0</v>
      </c>
      <c r="D204" s="207">
        <v>0</v>
      </c>
      <c r="E204" s="207">
        <v>0</v>
      </c>
      <c r="F204" s="114">
        <v>0</v>
      </c>
      <c r="G204" s="114">
        <v>0</v>
      </c>
      <c r="H204" s="114">
        <v>0</v>
      </c>
      <c r="I204" s="114">
        <v>0</v>
      </c>
      <c r="J204" s="114">
        <v>0</v>
      </c>
      <c r="K204" s="114">
        <v>0</v>
      </c>
      <c r="L204" s="114">
        <v>0</v>
      </c>
      <c r="M204" s="114">
        <v>0</v>
      </c>
      <c r="N204" s="114">
        <v>0</v>
      </c>
      <c r="O204" s="114">
        <v>0</v>
      </c>
    </row>
    <row r="205" spans="1:21" ht="18" customHeight="1" outlineLevel="1" x14ac:dyDescent="0.2">
      <c r="B205" s="100" t="s">
        <v>259</v>
      </c>
      <c r="C205" s="208">
        <f t="shared" ref="C205:O205" si="143">SUM(C199:C204)</f>
        <v>43653</v>
      </c>
      <c r="D205" s="208">
        <f t="shared" si="143"/>
        <v>97873</v>
      </c>
      <c r="E205" s="208">
        <f t="shared" si="143"/>
        <v>97801</v>
      </c>
      <c r="F205" s="208">
        <f t="shared" si="143"/>
        <v>97801</v>
      </c>
      <c r="G205" s="208">
        <f t="shared" si="143"/>
        <v>97801</v>
      </c>
      <c r="H205" s="208">
        <f t="shared" si="143"/>
        <v>97801</v>
      </c>
      <c r="I205" s="208">
        <f t="shared" si="143"/>
        <v>97801</v>
      </c>
      <c r="J205" s="208">
        <f t="shared" si="143"/>
        <v>97801</v>
      </c>
      <c r="K205" s="208">
        <f t="shared" si="143"/>
        <v>97801</v>
      </c>
      <c r="L205" s="208">
        <f t="shared" si="143"/>
        <v>97801</v>
      </c>
      <c r="M205" s="208">
        <f t="shared" si="143"/>
        <v>97801</v>
      </c>
      <c r="N205" s="208">
        <f t="shared" si="143"/>
        <v>97801</v>
      </c>
      <c r="O205" s="208">
        <f t="shared" si="143"/>
        <v>97801</v>
      </c>
    </row>
    <row r="206" spans="1:21" ht="18" customHeight="1" outlineLevel="1" x14ac:dyDescent="0.2">
      <c r="B206" s="100"/>
      <c r="C206" s="113"/>
      <c r="D206" s="113"/>
      <c r="E206" s="113"/>
      <c r="F206" s="115"/>
      <c r="G206" s="115"/>
      <c r="H206" s="115"/>
      <c r="I206" s="115"/>
      <c r="J206" s="115"/>
      <c r="K206" s="115"/>
      <c r="L206" s="115"/>
      <c r="M206" s="115"/>
      <c r="N206" s="115"/>
      <c r="O206" s="115"/>
    </row>
    <row r="207" spans="1:21" ht="18" customHeight="1" x14ac:dyDescent="0.2">
      <c r="B207" s="109" t="s">
        <v>260</v>
      </c>
      <c r="C207" s="116" t="str">
        <f t="shared" ref="C207:O207" si="144">C$5</f>
        <v>2023A</v>
      </c>
      <c r="D207" s="116" t="str">
        <f t="shared" si="144"/>
        <v>2024A</v>
      </c>
      <c r="E207" s="116" t="str">
        <f t="shared" si="144"/>
        <v>2025A</v>
      </c>
      <c r="F207" s="116" t="str">
        <f t="shared" si="144"/>
        <v>2026P</v>
      </c>
      <c r="G207" s="116" t="str">
        <f t="shared" si="144"/>
        <v>2027P</v>
      </c>
      <c r="H207" s="116" t="str">
        <f t="shared" si="144"/>
        <v>2028P</v>
      </c>
      <c r="I207" s="116" t="str">
        <f t="shared" si="144"/>
        <v xml:space="preserve">2029P </v>
      </c>
      <c r="J207" s="116" t="str">
        <f t="shared" si="144"/>
        <v>2030P</v>
      </c>
      <c r="K207" s="116" t="str">
        <f t="shared" si="144"/>
        <v>2031P</v>
      </c>
      <c r="L207" s="116" t="str">
        <f t="shared" si="144"/>
        <v>2032P</v>
      </c>
      <c r="M207" s="116" t="str">
        <f t="shared" si="144"/>
        <v xml:space="preserve">2033P </v>
      </c>
      <c r="N207" s="116" t="str">
        <f t="shared" si="144"/>
        <v>2034P</v>
      </c>
      <c r="O207" s="116" t="str">
        <f t="shared" si="144"/>
        <v>2035P</v>
      </c>
    </row>
    <row r="208" spans="1:21" ht="18" customHeight="1" outlineLevel="1" x14ac:dyDescent="0.2">
      <c r="B208" s="100" t="s">
        <v>261</v>
      </c>
      <c r="C208" s="207">
        <v>1797</v>
      </c>
      <c r="D208" s="208">
        <f t="shared" ref="D208:O208" si="145">C212</f>
        <v>1877</v>
      </c>
      <c r="E208" s="208">
        <f t="shared" si="145"/>
        <v>3748</v>
      </c>
      <c r="F208" s="208">
        <f t="shared" si="145"/>
        <v>5597</v>
      </c>
      <c r="G208" s="208">
        <f t="shared" si="145"/>
        <v>5597</v>
      </c>
      <c r="H208" s="208">
        <f t="shared" si="145"/>
        <v>5597</v>
      </c>
      <c r="I208" s="208">
        <f t="shared" si="145"/>
        <v>5597</v>
      </c>
      <c r="J208" s="208">
        <f t="shared" si="145"/>
        <v>5597</v>
      </c>
      <c r="K208" s="208">
        <f t="shared" si="145"/>
        <v>5597</v>
      </c>
      <c r="L208" s="208">
        <f t="shared" si="145"/>
        <v>5597</v>
      </c>
      <c r="M208" s="208">
        <f t="shared" si="145"/>
        <v>5597</v>
      </c>
      <c r="N208" s="208">
        <f t="shared" si="145"/>
        <v>5597</v>
      </c>
      <c r="O208" s="208">
        <f t="shared" si="145"/>
        <v>5597</v>
      </c>
      <c r="R208" s="220"/>
      <c r="S208" s="220"/>
      <c r="T208" s="220"/>
    </row>
    <row r="209" spans="2:19" ht="18" customHeight="1" outlineLevel="1" x14ac:dyDescent="0.2">
      <c r="B209" s="100" t="s">
        <v>262</v>
      </c>
      <c r="C209" s="207">
        <v>543</v>
      </c>
      <c r="D209" s="207">
        <v>3196</v>
      </c>
      <c r="E209" s="207">
        <v>3167</v>
      </c>
      <c r="F209" s="114">
        <v>0</v>
      </c>
      <c r="G209" s="114">
        <v>0</v>
      </c>
      <c r="H209" s="114">
        <v>0</v>
      </c>
      <c r="I209" s="114">
        <v>0</v>
      </c>
      <c r="J209" s="114">
        <v>0</v>
      </c>
      <c r="K209" s="114">
        <v>0</v>
      </c>
      <c r="L209" s="114">
        <v>0</v>
      </c>
      <c r="M209" s="114">
        <v>0</v>
      </c>
      <c r="N209" s="114">
        <v>0</v>
      </c>
      <c r="O209" s="114">
        <v>0</v>
      </c>
    </row>
    <row r="210" spans="2:19" ht="18" customHeight="1" outlineLevel="1" x14ac:dyDescent="0.2">
      <c r="B210" s="100" t="s">
        <v>263</v>
      </c>
      <c r="C210" s="207">
        <v>0</v>
      </c>
      <c r="D210" s="207">
        <v>0</v>
      </c>
      <c r="E210" s="207">
        <v>0</v>
      </c>
      <c r="F210" s="114">
        <v>0</v>
      </c>
      <c r="G210" s="114">
        <v>0</v>
      </c>
      <c r="H210" s="114">
        <v>0</v>
      </c>
      <c r="I210" s="114">
        <v>0</v>
      </c>
      <c r="J210" s="114">
        <v>0</v>
      </c>
      <c r="K210" s="114">
        <v>0</v>
      </c>
      <c r="L210" s="114">
        <v>0</v>
      </c>
      <c r="M210" s="114">
        <v>0</v>
      </c>
      <c r="N210" s="114">
        <v>0</v>
      </c>
      <c r="O210" s="114">
        <v>0</v>
      </c>
    </row>
    <row r="211" spans="2:19" ht="18" customHeight="1" outlineLevel="1" x14ac:dyDescent="0.2">
      <c r="B211" s="100" t="s">
        <v>477</v>
      </c>
      <c r="C211" s="207">
        <v>-463</v>
      </c>
      <c r="D211" s="207">
        <v>-1325</v>
      </c>
      <c r="E211" s="207">
        <v>-1318</v>
      </c>
      <c r="F211" s="114"/>
      <c r="G211" s="114"/>
      <c r="H211" s="114"/>
      <c r="I211" s="114"/>
      <c r="J211" s="114"/>
      <c r="K211" s="114"/>
      <c r="L211" s="114"/>
      <c r="M211" s="114"/>
      <c r="N211" s="114"/>
      <c r="O211" s="114"/>
    </row>
    <row r="212" spans="2:19" ht="18" customHeight="1" outlineLevel="1" x14ac:dyDescent="0.35">
      <c r="B212" s="100" t="s">
        <v>264</v>
      </c>
      <c r="C212" s="209">
        <f>SUM(C208:C211)</f>
        <v>1877</v>
      </c>
      <c r="D212" s="209">
        <f>SUM(D208:D211)</f>
        <v>3748</v>
      </c>
      <c r="E212" s="209">
        <f>SUM(E208:E211)</f>
        <v>5597</v>
      </c>
      <c r="F212" s="209">
        <f t="shared" ref="F212:O212" si="146">SUM(F208:F210)</f>
        <v>5597</v>
      </c>
      <c r="G212" s="209">
        <f t="shared" si="146"/>
        <v>5597</v>
      </c>
      <c r="H212" s="209">
        <f t="shared" si="146"/>
        <v>5597</v>
      </c>
      <c r="I212" s="209">
        <f t="shared" si="146"/>
        <v>5597</v>
      </c>
      <c r="J212" s="209">
        <f t="shared" si="146"/>
        <v>5597</v>
      </c>
      <c r="K212" s="209">
        <f t="shared" si="146"/>
        <v>5597</v>
      </c>
      <c r="L212" s="209">
        <f t="shared" si="146"/>
        <v>5597</v>
      </c>
      <c r="M212" s="209">
        <f t="shared" si="146"/>
        <v>5597</v>
      </c>
      <c r="N212" s="209">
        <f t="shared" si="146"/>
        <v>5597</v>
      </c>
      <c r="O212" s="209">
        <f t="shared" si="146"/>
        <v>5597</v>
      </c>
    </row>
    <row r="213" spans="2:19" ht="18" customHeight="1" outlineLevel="1" x14ac:dyDescent="0.2">
      <c r="B213" s="100" t="s">
        <v>265</v>
      </c>
      <c r="C213" s="208"/>
      <c r="D213" s="208">
        <f t="shared" ref="D213:O213" si="147">D212-C212</f>
        <v>1871</v>
      </c>
      <c r="E213" s="208">
        <f t="shared" si="147"/>
        <v>1849</v>
      </c>
      <c r="F213" s="208">
        <f t="shared" si="147"/>
        <v>0</v>
      </c>
      <c r="G213" s="208">
        <f t="shared" si="147"/>
        <v>0</v>
      </c>
      <c r="H213" s="208">
        <f t="shared" si="147"/>
        <v>0</v>
      </c>
      <c r="I213" s="208">
        <f t="shared" si="147"/>
        <v>0</v>
      </c>
      <c r="J213" s="208">
        <f t="shared" si="147"/>
        <v>0</v>
      </c>
      <c r="K213" s="208">
        <f t="shared" si="147"/>
        <v>0</v>
      </c>
      <c r="L213" s="208">
        <f t="shared" si="147"/>
        <v>0</v>
      </c>
      <c r="M213" s="208">
        <f t="shared" si="147"/>
        <v>0</v>
      </c>
      <c r="N213" s="208">
        <f t="shared" si="147"/>
        <v>0</v>
      </c>
      <c r="O213" s="208">
        <f t="shared" si="147"/>
        <v>0</v>
      </c>
    </row>
    <row r="214" spans="2:19" ht="18" customHeight="1" outlineLevel="1" x14ac:dyDescent="0.2">
      <c r="B214" s="100"/>
      <c r="C214" s="266"/>
      <c r="D214" s="266"/>
      <c r="E214" s="266"/>
      <c r="F214" s="267"/>
      <c r="G214" s="267"/>
      <c r="H214" s="267"/>
      <c r="I214" s="267"/>
      <c r="J214" s="267"/>
      <c r="K214" s="267"/>
      <c r="L214" s="267"/>
      <c r="M214" s="267"/>
      <c r="N214" s="267"/>
      <c r="O214" s="267"/>
    </row>
    <row r="215" spans="2:19" ht="18" customHeight="1" outlineLevel="1" x14ac:dyDescent="0.2">
      <c r="B215" s="100" t="s">
        <v>266</v>
      </c>
      <c r="C215" s="207">
        <v>4413</v>
      </c>
      <c r="D215" s="208">
        <f t="shared" ref="D215:O215" si="148">C219</f>
        <v>3488</v>
      </c>
      <c r="E215" s="208">
        <f t="shared" si="148"/>
        <v>13832</v>
      </c>
      <c r="F215" s="208">
        <f t="shared" si="148"/>
        <v>8121</v>
      </c>
      <c r="G215" s="208">
        <f t="shared" si="148"/>
        <v>8121</v>
      </c>
      <c r="H215" s="208">
        <f t="shared" si="148"/>
        <v>8121</v>
      </c>
      <c r="I215" s="208">
        <f t="shared" si="148"/>
        <v>8121</v>
      </c>
      <c r="J215" s="208">
        <f t="shared" si="148"/>
        <v>8121</v>
      </c>
      <c r="K215" s="208">
        <f t="shared" si="148"/>
        <v>8121</v>
      </c>
      <c r="L215" s="208">
        <f t="shared" si="148"/>
        <v>8121</v>
      </c>
      <c r="M215" s="208">
        <f t="shared" si="148"/>
        <v>8121</v>
      </c>
      <c r="N215" s="208">
        <f t="shared" si="148"/>
        <v>8121</v>
      </c>
      <c r="O215" s="208">
        <f t="shared" si="148"/>
        <v>8121</v>
      </c>
    </row>
    <row r="216" spans="2:19" ht="18" customHeight="1" outlineLevel="1" x14ac:dyDescent="0.2">
      <c r="B216" s="100" t="s">
        <v>262</v>
      </c>
      <c r="C216" s="207">
        <v>0</v>
      </c>
      <c r="D216" s="207">
        <v>11487</v>
      </c>
      <c r="E216" s="207">
        <v>0</v>
      </c>
      <c r="F216" s="114">
        <v>0</v>
      </c>
      <c r="G216" s="114">
        <v>0</v>
      </c>
      <c r="H216" s="114">
        <v>0</v>
      </c>
      <c r="I216" s="114">
        <v>0</v>
      </c>
      <c r="J216" s="114">
        <v>0</v>
      </c>
      <c r="K216" s="114">
        <v>0</v>
      </c>
      <c r="L216" s="114">
        <v>0</v>
      </c>
      <c r="M216" s="114">
        <v>0</v>
      </c>
      <c r="N216" s="114">
        <v>0</v>
      </c>
      <c r="O216" s="114">
        <v>0</v>
      </c>
    </row>
    <row r="217" spans="2:19" ht="18" customHeight="1" outlineLevel="1" x14ac:dyDescent="0.2">
      <c r="B217" s="100" t="s">
        <v>263</v>
      </c>
      <c r="C217" s="207">
        <v>-566</v>
      </c>
      <c r="D217" s="207">
        <v>0</v>
      </c>
      <c r="E217" s="207">
        <v>-4530</v>
      </c>
      <c r="F217" s="114">
        <v>0</v>
      </c>
      <c r="G217" s="114">
        <v>0</v>
      </c>
      <c r="H217" s="114">
        <v>0</v>
      </c>
      <c r="I217" s="114">
        <v>0</v>
      </c>
      <c r="J217" s="114">
        <v>0</v>
      </c>
      <c r="K217" s="114">
        <v>0</v>
      </c>
      <c r="L217" s="114">
        <v>0</v>
      </c>
      <c r="M217" s="114">
        <v>0</v>
      </c>
      <c r="N217" s="114">
        <v>0</v>
      </c>
      <c r="O217" s="114">
        <v>0</v>
      </c>
    </row>
    <row r="218" spans="2:19" ht="18" customHeight="1" outlineLevel="1" x14ac:dyDescent="0.2">
      <c r="B218" s="100" t="s">
        <v>267</v>
      </c>
      <c r="C218" s="207">
        <v>-359</v>
      </c>
      <c r="D218" s="207">
        <v>-1143</v>
      </c>
      <c r="E218" s="207">
        <v>-1181</v>
      </c>
      <c r="F218" s="114"/>
      <c r="G218" s="114"/>
      <c r="H218" s="114"/>
      <c r="I218" s="114"/>
      <c r="J218" s="114"/>
      <c r="K218" s="114"/>
      <c r="L218" s="114"/>
      <c r="M218" s="114"/>
      <c r="N218" s="114"/>
      <c r="O218" s="114"/>
    </row>
    <row r="219" spans="2:19" ht="18" customHeight="1" outlineLevel="1" x14ac:dyDescent="0.35">
      <c r="B219" s="100" t="s">
        <v>268</v>
      </c>
      <c r="C219" s="209">
        <f>SUM(C215:C218)</f>
        <v>3488</v>
      </c>
      <c r="D219" s="209">
        <f>SUM(D215:D218)</f>
        <v>13832</v>
      </c>
      <c r="E219" s="209">
        <f>SUM(E215:E218)</f>
        <v>8121</v>
      </c>
      <c r="F219" s="209">
        <f t="shared" ref="F219:O219" si="149">SUM(F215:F217)</f>
        <v>8121</v>
      </c>
      <c r="G219" s="209">
        <f t="shared" si="149"/>
        <v>8121</v>
      </c>
      <c r="H219" s="209">
        <f t="shared" si="149"/>
        <v>8121</v>
      </c>
      <c r="I219" s="209">
        <f t="shared" si="149"/>
        <v>8121</v>
      </c>
      <c r="J219" s="209">
        <f t="shared" si="149"/>
        <v>8121</v>
      </c>
      <c r="K219" s="209">
        <f t="shared" si="149"/>
        <v>8121</v>
      </c>
      <c r="L219" s="209">
        <f t="shared" si="149"/>
        <v>8121</v>
      </c>
      <c r="M219" s="209">
        <f t="shared" si="149"/>
        <v>8121</v>
      </c>
      <c r="N219" s="209">
        <f t="shared" si="149"/>
        <v>8121</v>
      </c>
      <c r="O219" s="209">
        <f t="shared" si="149"/>
        <v>8121</v>
      </c>
    </row>
    <row r="220" spans="2:19" ht="18" customHeight="1" outlineLevel="1" x14ac:dyDescent="0.2">
      <c r="B220" s="100" t="s">
        <v>269</v>
      </c>
      <c r="C220" s="208"/>
      <c r="D220" s="208">
        <f t="shared" ref="D220:O220" si="150">D219-C219</f>
        <v>10344</v>
      </c>
      <c r="E220" s="208">
        <f t="shared" si="150"/>
        <v>-5711</v>
      </c>
      <c r="F220" s="208">
        <f t="shared" si="150"/>
        <v>0</v>
      </c>
      <c r="G220" s="208">
        <f t="shared" si="150"/>
        <v>0</v>
      </c>
      <c r="H220" s="208">
        <f t="shared" si="150"/>
        <v>0</v>
      </c>
      <c r="I220" s="208">
        <f t="shared" si="150"/>
        <v>0</v>
      </c>
      <c r="J220" s="208">
        <f t="shared" si="150"/>
        <v>0</v>
      </c>
      <c r="K220" s="208">
        <f t="shared" si="150"/>
        <v>0</v>
      </c>
      <c r="L220" s="208">
        <f t="shared" si="150"/>
        <v>0</v>
      </c>
      <c r="M220" s="208">
        <f t="shared" si="150"/>
        <v>0</v>
      </c>
      <c r="N220" s="208">
        <f t="shared" si="150"/>
        <v>0</v>
      </c>
      <c r="O220" s="208">
        <f t="shared" si="150"/>
        <v>0</v>
      </c>
    </row>
    <row r="221" spans="2:19" ht="18" customHeight="1" x14ac:dyDescent="0.2">
      <c r="B221" s="127"/>
      <c r="C221" s="127"/>
      <c r="D221" s="126"/>
      <c r="E221" s="126"/>
      <c r="F221" s="128"/>
      <c r="G221" s="128"/>
      <c r="H221" s="128"/>
      <c r="I221" s="128"/>
      <c r="J221" s="128"/>
      <c r="K221" s="128"/>
      <c r="L221" s="128"/>
      <c r="M221" s="128"/>
      <c r="N221" s="128"/>
      <c r="O221" s="128"/>
      <c r="R221" s="120"/>
    </row>
    <row r="222" spans="2:19" ht="18" customHeight="1" x14ac:dyDescent="0.2">
      <c r="B222" s="2" t="s">
        <v>270</v>
      </c>
      <c r="C222" s="3" t="str">
        <f>C$5</f>
        <v>2023A</v>
      </c>
      <c r="D222" s="3" t="str">
        <f t="shared" ref="D222:O222" si="151">D$5</f>
        <v>2024A</v>
      </c>
      <c r="E222" s="3" t="str">
        <f t="shared" si="151"/>
        <v>2025A</v>
      </c>
      <c r="F222" s="3" t="str">
        <f t="shared" si="151"/>
        <v>2026P</v>
      </c>
      <c r="G222" s="3" t="str">
        <f t="shared" si="151"/>
        <v>2027P</v>
      </c>
      <c r="H222" s="3" t="str">
        <f t="shared" si="151"/>
        <v>2028P</v>
      </c>
      <c r="I222" s="3" t="str">
        <f t="shared" si="151"/>
        <v xml:space="preserve">2029P </v>
      </c>
      <c r="J222" s="3" t="str">
        <f t="shared" si="151"/>
        <v>2030P</v>
      </c>
      <c r="K222" s="3" t="str">
        <f t="shared" si="151"/>
        <v>2031P</v>
      </c>
      <c r="L222" s="3" t="str">
        <f t="shared" si="151"/>
        <v>2032P</v>
      </c>
      <c r="M222" s="3" t="str">
        <f t="shared" si="151"/>
        <v xml:space="preserve">2033P </v>
      </c>
      <c r="N222" s="3" t="str">
        <f t="shared" si="151"/>
        <v>2034P</v>
      </c>
      <c r="O222" s="3" t="str">
        <f t="shared" si="151"/>
        <v>2035P</v>
      </c>
    </row>
    <row r="223" spans="2:19" ht="18" customHeight="1" outlineLevel="1" x14ac:dyDescent="0.2">
      <c r="B223" s="109" t="s">
        <v>271</v>
      </c>
      <c r="C223" s="211">
        <v>0</v>
      </c>
      <c r="D223" s="129">
        <f t="shared" ref="D223:O223" si="152">C225</f>
        <v>0</v>
      </c>
      <c r="E223" s="129">
        <f t="shared" si="152"/>
        <v>0</v>
      </c>
      <c r="F223" s="129">
        <f t="shared" si="152"/>
        <v>0</v>
      </c>
      <c r="G223" s="129">
        <f t="shared" si="152"/>
        <v>0</v>
      </c>
      <c r="H223" s="129">
        <f t="shared" si="152"/>
        <v>0</v>
      </c>
      <c r="I223" s="129">
        <f t="shared" si="152"/>
        <v>0</v>
      </c>
      <c r="J223" s="129">
        <f t="shared" si="152"/>
        <v>0</v>
      </c>
      <c r="K223" s="129">
        <f t="shared" si="152"/>
        <v>0</v>
      </c>
      <c r="L223" s="129">
        <f t="shared" si="152"/>
        <v>0</v>
      </c>
      <c r="M223" s="129">
        <f t="shared" si="152"/>
        <v>0</v>
      </c>
      <c r="N223" s="129">
        <f t="shared" si="152"/>
        <v>0</v>
      </c>
      <c r="O223" s="129">
        <f t="shared" si="152"/>
        <v>0</v>
      </c>
      <c r="S223" s="101"/>
    </row>
    <row r="224" spans="2:19" ht="18" customHeight="1" outlineLevel="1" x14ac:dyDescent="0.35">
      <c r="B224" s="100" t="s">
        <v>272</v>
      </c>
      <c r="C224" s="277">
        <f t="shared" ref="C224:O224" si="153">MIN(MAX(-C129,0),C226-C223)-MIN(MAX(C129,0),C223)</f>
        <v>0</v>
      </c>
      <c r="D224" s="277">
        <f t="shared" si="153"/>
        <v>0</v>
      </c>
      <c r="E224" s="277">
        <f t="shared" si="153"/>
        <v>0</v>
      </c>
      <c r="F224" s="277">
        <f t="shared" si="153"/>
        <v>0</v>
      </c>
      <c r="G224" s="277">
        <f t="shared" si="153"/>
        <v>0</v>
      </c>
      <c r="H224" s="277">
        <f t="shared" si="153"/>
        <v>0</v>
      </c>
      <c r="I224" s="277">
        <f t="shared" si="153"/>
        <v>0</v>
      </c>
      <c r="J224" s="277">
        <f t="shared" si="153"/>
        <v>0</v>
      </c>
      <c r="K224" s="277">
        <f t="shared" si="153"/>
        <v>0</v>
      </c>
      <c r="L224" s="277">
        <f t="shared" si="153"/>
        <v>0</v>
      </c>
      <c r="M224" s="277">
        <f t="shared" si="153"/>
        <v>0</v>
      </c>
      <c r="N224" s="277">
        <f t="shared" si="153"/>
        <v>0</v>
      </c>
      <c r="O224" s="277">
        <f t="shared" si="153"/>
        <v>0</v>
      </c>
      <c r="S224" s="101"/>
    </row>
    <row r="225" spans="2:19" ht="18" customHeight="1" outlineLevel="1" x14ac:dyDescent="0.2">
      <c r="B225" s="100" t="s">
        <v>273</v>
      </c>
      <c r="C225" s="123">
        <f t="shared" ref="C225:O225" si="154">SUM(C223:C224)</f>
        <v>0</v>
      </c>
      <c r="D225" s="123">
        <f t="shared" si="154"/>
        <v>0</v>
      </c>
      <c r="E225" s="123">
        <f t="shared" si="154"/>
        <v>0</v>
      </c>
      <c r="F225" s="123">
        <f t="shared" si="154"/>
        <v>0</v>
      </c>
      <c r="G225" s="123">
        <f t="shared" si="154"/>
        <v>0</v>
      </c>
      <c r="H225" s="123">
        <f t="shared" si="154"/>
        <v>0</v>
      </c>
      <c r="I225" s="123">
        <f t="shared" si="154"/>
        <v>0</v>
      </c>
      <c r="J225" s="123">
        <f t="shared" si="154"/>
        <v>0</v>
      </c>
      <c r="K225" s="123">
        <f t="shared" si="154"/>
        <v>0</v>
      </c>
      <c r="L225" s="123">
        <f t="shared" si="154"/>
        <v>0</v>
      </c>
      <c r="M225" s="123">
        <f t="shared" si="154"/>
        <v>0</v>
      </c>
      <c r="N225" s="123">
        <f t="shared" si="154"/>
        <v>0</v>
      </c>
      <c r="O225" s="123">
        <f t="shared" si="154"/>
        <v>0</v>
      </c>
      <c r="S225" s="101"/>
    </row>
    <row r="226" spans="2:19" ht="18" customHeight="1" outlineLevel="1" x14ac:dyDescent="0.2">
      <c r="B226" s="100" t="s">
        <v>274</v>
      </c>
      <c r="C226" s="114">
        <v>4000</v>
      </c>
      <c r="D226" s="114">
        <v>4000</v>
      </c>
      <c r="E226" s="114">
        <v>4000</v>
      </c>
      <c r="F226" s="114">
        <v>4000</v>
      </c>
      <c r="G226" s="114">
        <v>4000</v>
      </c>
      <c r="H226" s="114">
        <v>4000</v>
      </c>
      <c r="I226" s="114">
        <v>4000</v>
      </c>
      <c r="J226" s="114">
        <v>4000</v>
      </c>
      <c r="K226" s="114">
        <v>4000</v>
      </c>
      <c r="L226" s="114">
        <v>4000</v>
      </c>
      <c r="M226" s="114">
        <v>4000</v>
      </c>
      <c r="N226" s="114">
        <v>4000</v>
      </c>
      <c r="O226" s="114">
        <v>4000</v>
      </c>
      <c r="S226" s="101"/>
    </row>
    <row r="227" spans="2:19" ht="18" customHeight="1" outlineLevel="1" x14ac:dyDescent="0.2">
      <c r="B227" s="100" t="s">
        <v>275</v>
      </c>
      <c r="C227" s="123">
        <f t="shared" ref="C227:O227" si="155">C228*C223</f>
        <v>0</v>
      </c>
      <c r="D227" s="123">
        <f t="shared" si="155"/>
        <v>0</v>
      </c>
      <c r="E227" s="123">
        <f t="shared" si="155"/>
        <v>0</v>
      </c>
      <c r="F227" s="123">
        <f t="shared" si="155"/>
        <v>0</v>
      </c>
      <c r="G227" s="123">
        <f t="shared" si="155"/>
        <v>0</v>
      </c>
      <c r="H227" s="123">
        <f t="shared" si="155"/>
        <v>0</v>
      </c>
      <c r="I227" s="123">
        <f t="shared" si="155"/>
        <v>0</v>
      </c>
      <c r="J227" s="123">
        <f t="shared" si="155"/>
        <v>0</v>
      </c>
      <c r="K227" s="123">
        <f t="shared" si="155"/>
        <v>0</v>
      </c>
      <c r="L227" s="123">
        <f t="shared" si="155"/>
        <v>0</v>
      </c>
      <c r="M227" s="123">
        <f t="shared" si="155"/>
        <v>0</v>
      </c>
      <c r="N227" s="123">
        <f t="shared" si="155"/>
        <v>0</v>
      </c>
      <c r="O227" s="123">
        <f t="shared" si="155"/>
        <v>0</v>
      </c>
      <c r="S227" s="101"/>
    </row>
    <row r="228" spans="2:19" ht="18" customHeight="1" outlineLevel="1" x14ac:dyDescent="0.2">
      <c r="B228" s="100" t="s">
        <v>276</v>
      </c>
      <c r="C228" s="115">
        <v>5.2999999999999999E-2</v>
      </c>
      <c r="D228" s="115">
        <f t="shared" ref="D228:O228" si="156">C228</f>
        <v>5.2999999999999999E-2</v>
      </c>
      <c r="E228" s="115">
        <f t="shared" si="156"/>
        <v>5.2999999999999999E-2</v>
      </c>
      <c r="F228" s="115">
        <f t="shared" si="156"/>
        <v>5.2999999999999999E-2</v>
      </c>
      <c r="G228" s="115">
        <f t="shared" si="156"/>
        <v>5.2999999999999999E-2</v>
      </c>
      <c r="H228" s="115">
        <f t="shared" si="156"/>
        <v>5.2999999999999999E-2</v>
      </c>
      <c r="I228" s="115">
        <f t="shared" si="156"/>
        <v>5.2999999999999999E-2</v>
      </c>
      <c r="J228" s="115">
        <f t="shared" si="156"/>
        <v>5.2999999999999999E-2</v>
      </c>
      <c r="K228" s="115">
        <f t="shared" si="156"/>
        <v>5.2999999999999999E-2</v>
      </c>
      <c r="L228" s="115">
        <f t="shared" si="156"/>
        <v>5.2999999999999999E-2</v>
      </c>
      <c r="M228" s="115">
        <f t="shared" si="156"/>
        <v>5.2999999999999999E-2</v>
      </c>
      <c r="N228" s="115">
        <f t="shared" si="156"/>
        <v>5.2999999999999999E-2</v>
      </c>
      <c r="O228" s="115">
        <f t="shared" si="156"/>
        <v>5.2999999999999999E-2</v>
      </c>
      <c r="S228" s="101"/>
    </row>
    <row r="229" spans="2:19" ht="18" customHeight="1" outlineLevel="1" x14ac:dyDescent="0.2">
      <c r="B229" s="109" t="s">
        <v>277</v>
      </c>
      <c r="C229" s="211">
        <v>0</v>
      </c>
      <c r="D229" s="129">
        <f t="shared" ref="D229:O229" si="157">C231</f>
        <v>0</v>
      </c>
      <c r="E229" s="129">
        <f t="shared" si="157"/>
        <v>0</v>
      </c>
      <c r="F229" s="129">
        <f t="shared" si="157"/>
        <v>0</v>
      </c>
      <c r="G229" s="129">
        <f t="shared" si="157"/>
        <v>0</v>
      </c>
      <c r="H229" s="129">
        <f t="shared" si="157"/>
        <v>0</v>
      </c>
      <c r="I229" s="129">
        <f t="shared" si="157"/>
        <v>0</v>
      </c>
      <c r="J229" s="129">
        <f t="shared" si="157"/>
        <v>0</v>
      </c>
      <c r="K229" s="129">
        <f t="shared" si="157"/>
        <v>0</v>
      </c>
      <c r="L229" s="129">
        <f t="shared" si="157"/>
        <v>0</v>
      </c>
      <c r="M229" s="129">
        <f t="shared" si="157"/>
        <v>0</v>
      </c>
      <c r="N229" s="129">
        <f t="shared" si="157"/>
        <v>0</v>
      </c>
      <c r="O229" s="129">
        <f t="shared" si="157"/>
        <v>0</v>
      </c>
      <c r="S229" s="101"/>
    </row>
    <row r="230" spans="2:19" ht="18" customHeight="1" outlineLevel="1" x14ac:dyDescent="0.35">
      <c r="B230" s="100" t="s">
        <v>278</v>
      </c>
      <c r="C230" s="277">
        <f t="shared" ref="C230:O230" si="158">MIN(MAX(-(C129+C224),0),C232-C229)-MIN(MAX(C129+C224,0),C229)</f>
        <v>0</v>
      </c>
      <c r="D230" s="277">
        <f t="shared" si="158"/>
        <v>0</v>
      </c>
      <c r="E230" s="277">
        <f t="shared" si="158"/>
        <v>0</v>
      </c>
      <c r="F230" s="277">
        <f t="shared" si="158"/>
        <v>0</v>
      </c>
      <c r="G230" s="277">
        <f t="shared" si="158"/>
        <v>0</v>
      </c>
      <c r="H230" s="277">
        <f t="shared" si="158"/>
        <v>0</v>
      </c>
      <c r="I230" s="277">
        <f t="shared" si="158"/>
        <v>0</v>
      </c>
      <c r="J230" s="277">
        <f t="shared" si="158"/>
        <v>0</v>
      </c>
      <c r="K230" s="277">
        <f t="shared" si="158"/>
        <v>0</v>
      </c>
      <c r="L230" s="277">
        <f t="shared" si="158"/>
        <v>0</v>
      </c>
      <c r="M230" s="277">
        <f t="shared" si="158"/>
        <v>0</v>
      </c>
      <c r="N230" s="277">
        <f t="shared" si="158"/>
        <v>0</v>
      </c>
      <c r="O230" s="277">
        <f t="shared" si="158"/>
        <v>0</v>
      </c>
      <c r="S230" s="101"/>
    </row>
    <row r="231" spans="2:19" ht="18" customHeight="1" outlineLevel="1" x14ac:dyDescent="0.2">
      <c r="B231" s="100" t="s">
        <v>279</v>
      </c>
      <c r="C231" s="123">
        <f t="shared" ref="C231:O231" si="159">SUM(C229:C230)</f>
        <v>0</v>
      </c>
      <c r="D231" s="123">
        <f t="shared" si="159"/>
        <v>0</v>
      </c>
      <c r="E231" s="123">
        <f t="shared" si="159"/>
        <v>0</v>
      </c>
      <c r="F231" s="123">
        <f t="shared" si="159"/>
        <v>0</v>
      </c>
      <c r="G231" s="123">
        <f t="shared" si="159"/>
        <v>0</v>
      </c>
      <c r="H231" s="123">
        <f t="shared" si="159"/>
        <v>0</v>
      </c>
      <c r="I231" s="123">
        <f t="shared" si="159"/>
        <v>0</v>
      </c>
      <c r="J231" s="123">
        <f t="shared" si="159"/>
        <v>0</v>
      </c>
      <c r="K231" s="123">
        <f t="shared" si="159"/>
        <v>0</v>
      </c>
      <c r="L231" s="123">
        <f t="shared" si="159"/>
        <v>0</v>
      </c>
      <c r="M231" s="123">
        <f t="shared" si="159"/>
        <v>0</v>
      </c>
      <c r="N231" s="123">
        <f t="shared" si="159"/>
        <v>0</v>
      </c>
      <c r="O231" s="123">
        <f t="shared" si="159"/>
        <v>0</v>
      </c>
      <c r="S231" s="101"/>
    </row>
    <row r="232" spans="2:19" ht="18" customHeight="1" outlineLevel="1" x14ac:dyDescent="0.2">
      <c r="B232" s="100" t="s">
        <v>280</v>
      </c>
      <c r="C232" s="114">
        <v>7500</v>
      </c>
      <c r="D232" s="114">
        <v>7500</v>
      </c>
      <c r="E232" s="114">
        <v>7500</v>
      </c>
      <c r="F232" s="114">
        <v>7500</v>
      </c>
      <c r="G232" s="114">
        <v>7500</v>
      </c>
      <c r="H232" s="114">
        <v>7500</v>
      </c>
      <c r="I232" s="114">
        <v>7500</v>
      </c>
      <c r="J232" s="114">
        <v>7500</v>
      </c>
      <c r="K232" s="114">
        <v>7500</v>
      </c>
      <c r="L232" s="114">
        <v>7500</v>
      </c>
      <c r="M232" s="114">
        <v>7500</v>
      </c>
      <c r="N232" s="114">
        <v>7500</v>
      </c>
      <c r="O232" s="114">
        <v>7500</v>
      </c>
      <c r="S232" s="101"/>
    </row>
    <row r="233" spans="2:19" ht="18" customHeight="1" outlineLevel="1" x14ac:dyDescent="0.2">
      <c r="B233" s="100" t="s">
        <v>281</v>
      </c>
      <c r="C233" s="115">
        <v>5.2999999999999999E-2</v>
      </c>
      <c r="D233" s="115">
        <v>5.2999999999999999E-2</v>
      </c>
      <c r="E233" s="115">
        <v>5.2999999999999999E-2</v>
      </c>
      <c r="F233" s="115">
        <v>5.2999999999999999E-2</v>
      </c>
      <c r="G233" s="115">
        <v>5.2999999999999999E-2</v>
      </c>
      <c r="H233" s="115">
        <v>5.2999999999999999E-2</v>
      </c>
      <c r="I233" s="115">
        <v>5.2999999999999999E-2</v>
      </c>
      <c r="J233" s="115">
        <v>5.2999999999999999E-2</v>
      </c>
      <c r="K233" s="115">
        <v>5.2999999999999999E-2</v>
      </c>
      <c r="L233" s="115">
        <v>5.2999999999999999E-2</v>
      </c>
      <c r="M233" s="115">
        <v>5.2999999999999999E-2</v>
      </c>
      <c r="N233" s="115">
        <v>5.2999999999999999E-2</v>
      </c>
      <c r="O233" s="115">
        <v>5.2999999999999999E-2</v>
      </c>
      <c r="S233" s="101"/>
    </row>
    <row r="234" spans="2:19" ht="18" customHeight="1" outlineLevel="1" x14ac:dyDescent="0.2">
      <c r="B234" s="109" t="s">
        <v>282</v>
      </c>
      <c r="C234" s="211">
        <v>0</v>
      </c>
      <c r="D234" s="129">
        <f>C236</f>
        <v>0</v>
      </c>
      <c r="E234" s="129">
        <f t="shared" ref="E234:O234" si="160">D237</f>
        <v>13595</v>
      </c>
      <c r="F234" s="129">
        <f t="shared" si="160"/>
        <v>12410</v>
      </c>
      <c r="G234" s="129">
        <f t="shared" si="160"/>
        <v>13595</v>
      </c>
      <c r="H234" s="129">
        <f t="shared" si="160"/>
        <v>8000</v>
      </c>
      <c r="I234" s="129">
        <f t="shared" si="160"/>
        <v>8000</v>
      </c>
      <c r="J234" s="129">
        <f t="shared" si="160"/>
        <v>0</v>
      </c>
      <c r="K234" s="129">
        <f t="shared" si="160"/>
        <v>0</v>
      </c>
      <c r="L234" s="129">
        <f t="shared" si="160"/>
        <v>0</v>
      </c>
      <c r="M234" s="129">
        <f t="shared" si="160"/>
        <v>0</v>
      </c>
      <c r="N234" s="129">
        <f t="shared" si="160"/>
        <v>0</v>
      </c>
      <c r="O234" s="129">
        <f t="shared" si="160"/>
        <v>0</v>
      </c>
      <c r="S234" s="101"/>
    </row>
    <row r="235" spans="2:19" ht="18" customHeight="1" outlineLevel="1" x14ac:dyDescent="0.2">
      <c r="B235" s="100" t="s">
        <v>283</v>
      </c>
      <c r="C235" s="101">
        <v>0</v>
      </c>
      <c r="D235" s="101">
        <v>30390</v>
      </c>
      <c r="E235" s="101">
        <v>0</v>
      </c>
      <c r="F235" s="114">
        <v>1185</v>
      </c>
      <c r="G235" s="114">
        <v>0</v>
      </c>
      <c r="H235" s="114">
        <v>0</v>
      </c>
      <c r="I235" s="114">
        <v>0</v>
      </c>
      <c r="J235" s="114">
        <v>0</v>
      </c>
      <c r="K235" s="114">
        <v>0</v>
      </c>
      <c r="L235" s="114">
        <v>0</v>
      </c>
      <c r="M235" s="114">
        <v>0</v>
      </c>
      <c r="N235" s="114">
        <v>0</v>
      </c>
      <c r="O235" s="114">
        <v>0</v>
      </c>
      <c r="S235" s="101"/>
    </row>
    <row r="236" spans="2:19" ht="18" customHeight="1" outlineLevel="1" x14ac:dyDescent="0.35">
      <c r="B236" s="100" t="s">
        <v>284</v>
      </c>
      <c r="C236" s="102">
        <v>0</v>
      </c>
      <c r="D236" s="102">
        <v>-16795</v>
      </c>
      <c r="E236" s="102">
        <v>-1185</v>
      </c>
      <c r="F236" s="104">
        <v>0</v>
      </c>
      <c r="G236" s="104">
        <v>-5595</v>
      </c>
      <c r="H236" s="104">
        <v>0</v>
      </c>
      <c r="I236" s="104">
        <v>-8000</v>
      </c>
      <c r="J236" s="104">
        <v>0</v>
      </c>
      <c r="K236" s="104">
        <v>0</v>
      </c>
      <c r="L236" s="104">
        <v>0</v>
      </c>
      <c r="M236" s="104">
        <v>0</v>
      </c>
      <c r="N236" s="104">
        <v>0</v>
      </c>
      <c r="O236" s="104">
        <v>0</v>
      </c>
      <c r="S236" s="101"/>
    </row>
    <row r="237" spans="2:19" ht="18" customHeight="1" outlineLevel="1" x14ac:dyDescent="0.2">
      <c r="B237" s="100" t="s">
        <v>285</v>
      </c>
      <c r="C237" s="123">
        <f t="shared" ref="C237:O237" si="161">SUM(C234:C236)</f>
        <v>0</v>
      </c>
      <c r="D237" s="123">
        <f t="shared" si="161"/>
        <v>13595</v>
      </c>
      <c r="E237" s="123">
        <f t="shared" si="161"/>
        <v>12410</v>
      </c>
      <c r="F237" s="123">
        <f t="shared" si="161"/>
        <v>13595</v>
      </c>
      <c r="G237" s="123">
        <f t="shared" si="161"/>
        <v>8000</v>
      </c>
      <c r="H237" s="123">
        <f t="shared" si="161"/>
        <v>8000</v>
      </c>
      <c r="I237" s="123">
        <f t="shared" si="161"/>
        <v>0</v>
      </c>
      <c r="J237" s="123">
        <f t="shared" si="161"/>
        <v>0</v>
      </c>
      <c r="K237" s="123">
        <f t="shared" si="161"/>
        <v>0</v>
      </c>
      <c r="L237" s="123">
        <f t="shared" si="161"/>
        <v>0</v>
      </c>
      <c r="M237" s="123">
        <f t="shared" si="161"/>
        <v>0</v>
      </c>
      <c r="N237" s="123">
        <f t="shared" si="161"/>
        <v>0</v>
      </c>
      <c r="O237" s="123">
        <f t="shared" si="161"/>
        <v>0</v>
      </c>
      <c r="S237" s="101"/>
    </row>
    <row r="238" spans="2:19" ht="18" customHeight="1" outlineLevel="1" x14ac:dyDescent="0.2">
      <c r="B238" s="100" t="s">
        <v>286</v>
      </c>
      <c r="C238" s="123">
        <f t="shared" ref="C238:O238" si="162">C239*C234</f>
        <v>0</v>
      </c>
      <c r="D238" s="123">
        <f t="shared" si="162"/>
        <v>0</v>
      </c>
      <c r="E238" s="123">
        <f t="shared" si="162"/>
        <v>720.53499999999997</v>
      </c>
      <c r="F238" s="123">
        <f>F239*F234</f>
        <v>657.73</v>
      </c>
      <c r="G238" s="123">
        <f t="shared" si="162"/>
        <v>611.77499999999998</v>
      </c>
      <c r="H238" s="123">
        <f t="shared" si="162"/>
        <v>360</v>
      </c>
      <c r="I238" s="123">
        <f t="shared" si="162"/>
        <v>360</v>
      </c>
      <c r="J238" s="123">
        <f t="shared" si="162"/>
        <v>0</v>
      </c>
      <c r="K238" s="123">
        <f t="shared" si="162"/>
        <v>0</v>
      </c>
      <c r="L238" s="123">
        <f t="shared" si="162"/>
        <v>0</v>
      </c>
      <c r="M238" s="123">
        <f t="shared" si="162"/>
        <v>0</v>
      </c>
      <c r="N238" s="123">
        <f t="shared" si="162"/>
        <v>0</v>
      </c>
      <c r="O238" s="123">
        <f t="shared" si="162"/>
        <v>0</v>
      </c>
      <c r="S238" s="101"/>
    </row>
    <row r="239" spans="2:19" ht="18" customHeight="1" outlineLevel="1" x14ac:dyDescent="0.2">
      <c r="B239" s="100" t="s">
        <v>287</v>
      </c>
      <c r="C239" s="115">
        <v>5.2999999999999999E-2</v>
      </c>
      <c r="D239" s="115">
        <v>5.2999999999999999E-2</v>
      </c>
      <c r="E239" s="115">
        <v>5.2999999999999999E-2</v>
      </c>
      <c r="F239" s="115">
        <v>5.2999999999999999E-2</v>
      </c>
      <c r="G239" s="115">
        <v>4.4999999999999998E-2</v>
      </c>
      <c r="H239" s="115">
        <v>4.4999999999999998E-2</v>
      </c>
      <c r="I239" s="115">
        <v>4.4999999999999998E-2</v>
      </c>
      <c r="J239" s="115">
        <v>4.4999999999999998E-2</v>
      </c>
      <c r="K239" s="115">
        <v>4.4999999999999998E-2</v>
      </c>
      <c r="L239" s="115">
        <v>4.4999999999999998E-2</v>
      </c>
      <c r="M239" s="115">
        <v>4.4999999999999998E-2</v>
      </c>
      <c r="N239" s="115">
        <v>4.4999999999999998E-2</v>
      </c>
      <c r="O239" s="115">
        <v>4.4999999999999998E-2</v>
      </c>
      <c r="S239" s="101"/>
    </row>
    <row r="240" spans="2:19" ht="18" customHeight="1" outlineLevel="1" x14ac:dyDescent="0.2">
      <c r="B240" s="109" t="s">
        <v>288</v>
      </c>
      <c r="C240" s="129"/>
      <c r="D240" s="129">
        <f t="shared" ref="D240:O240" si="163">C245</f>
        <v>39229</v>
      </c>
      <c r="E240" s="129">
        <f t="shared" si="163"/>
        <v>53971</v>
      </c>
      <c r="F240" s="129">
        <f t="shared" si="163"/>
        <v>52726</v>
      </c>
      <c r="G240" s="129">
        <f t="shared" si="163"/>
        <v>49601</v>
      </c>
      <c r="H240" s="129">
        <f t="shared" si="163"/>
        <v>43464</v>
      </c>
      <c r="I240" s="129">
        <f t="shared" si="163"/>
        <v>39194</v>
      </c>
      <c r="J240" s="129">
        <f t="shared" si="163"/>
        <v>34539</v>
      </c>
      <c r="K240" s="129">
        <f t="shared" si="163"/>
        <v>29827</v>
      </c>
      <c r="L240" s="129">
        <f t="shared" si="163"/>
        <v>24077</v>
      </c>
      <c r="M240" s="129">
        <f t="shared" si="163"/>
        <v>20002</v>
      </c>
      <c r="N240" s="129">
        <f t="shared" si="163"/>
        <v>16002</v>
      </c>
      <c r="O240" s="129">
        <f t="shared" si="163"/>
        <v>10996</v>
      </c>
      <c r="S240" s="101"/>
    </row>
    <row r="241" spans="2:19" ht="18" customHeight="1" outlineLevel="1" x14ac:dyDescent="0.2">
      <c r="B241" s="100" t="s">
        <v>289</v>
      </c>
      <c r="C241" s="114">
        <v>0</v>
      </c>
      <c r="D241" s="123">
        <v>8250</v>
      </c>
      <c r="E241" s="114"/>
      <c r="F241" s="114"/>
      <c r="G241" s="114"/>
      <c r="H241" s="114"/>
      <c r="I241" s="114"/>
      <c r="J241" s="114"/>
      <c r="K241" s="114"/>
      <c r="L241" s="114"/>
      <c r="M241" s="114"/>
      <c r="N241" s="114"/>
      <c r="O241" s="114"/>
      <c r="S241" s="101"/>
    </row>
    <row r="242" spans="2:19" ht="18" customHeight="1" outlineLevel="1" x14ac:dyDescent="0.2">
      <c r="B242" s="100" t="s">
        <v>283</v>
      </c>
      <c r="C242" s="114">
        <v>0</v>
      </c>
      <c r="D242" s="123">
        <v>10000</v>
      </c>
      <c r="E242" s="114">
        <v>0</v>
      </c>
      <c r="F242" s="114">
        <v>0</v>
      </c>
      <c r="G242" s="114">
        <v>0</v>
      </c>
      <c r="H242" s="114">
        <v>0</v>
      </c>
      <c r="I242" s="114">
        <v>0</v>
      </c>
      <c r="J242" s="114">
        <v>0</v>
      </c>
      <c r="K242" s="114">
        <v>0</v>
      </c>
      <c r="L242" s="114">
        <v>0</v>
      </c>
      <c r="M242" s="114">
        <v>0</v>
      </c>
      <c r="N242" s="114">
        <v>0</v>
      </c>
      <c r="O242" s="114">
        <v>0</v>
      </c>
      <c r="S242" s="101"/>
    </row>
    <row r="243" spans="2:19" ht="18" customHeight="1" outlineLevel="1" x14ac:dyDescent="0.2">
      <c r="B243" s="100" t="s">
        <v>290</v>
      </c>
      <c r="C243" s="114">
        <v>0</v>
      </c>
      <c r="D243" s="114">
        <v>0</v>
      </c>
      <c r="E243" s="123">
        <v>-1245</v>
      </c>
      <c r="F243" s="123">
        <v>-3125</v>
      </c>
      <c r="G243" s="123">
        <v>-6137</v>
      </c>
      <c r="H243" s="123">
        <v>-4270</v>
      </c>
      <c r="I243" s="123">
        <v>-4655</v>
      </c>
      <c r="J243" s="123">
        <v>-4712</v>
      </c>
      <c r="K243" s="123">
        <v>-5750</v>
      </c>
      <c r="L243" s="123">
        <v>-4075</v>
      </c>
      <c r="M243" s="123">
        <v>-4000</v>
      </c>
      <c r="N243" s="123">
        <v>-5006</v>
      </c>
      <c r="O243" s="123">
        <v>-3250</v>
      </c>
      <c r="S243" s="101"/>
    </row>
    <row r="244" spans="2:19" ht="18" customHeight="1" outlineLevel="1" x14ac:dyDescent="0.35">
      <c r="B244" s="100" t="s">
        <v>291</v>
      </c>
      <c r="C244" s="108">
        <v>0</v>
      </c>
      <c r="D244" s="108">
        <f>-1250-2239-19</f>
        <v>-3508</v>
      </c>
      <c r="E244" s="108">
        <v>0</v>
      </c>
      <c r="F244" s="104">
        <v>0</v>
      </c>
      <c r="G244" s="104">
        <v>0</v>
      </c>
      <c r="H244" s="104">
        <v>0</v>
      </c>
      <c r="I244" s="104">
        <v>0</v>
      </c>
      <c r="J244" s="104">
        <v>0</v>
      </c>
      <c r="K244" s="104">
        <v>0</v>
      </c>
      <c r="L244" s="104">
        <v>0</v>
      </c>
      <c r="M244" s="104">
        <v>0</v>
      </c>
      <c r="N244" s="104">
        <v>0</v>
      </c>
      <c r="O244" s="104">
        <v>0</v>
      </c>
      <c r="S244" s="101"/>
    </row>
    <row r="245" spans="2:19" ht="18" customHeight="1" outlineLevel="1" x14ac:dyDescent="0.2">
      <c r="B245" s="100" t="s">
        <v>292</v>
      </c>
      <c r="C245" s="123">
        <v>39229</v>
      </c>
      <c r="D245" s="123">
        <f t="shared" ref="D245:O245" si="164">SUM(D240:D244)</f>
        <v>53971</v>
      </c>
      <c r="E245" s="123">
        <f t="shared" si="164"/>
        <v>52726</v>
      </c>
      <c r="F245" s="123">
        <f t="shared" si="164"/>
        <v>49601</v>
      </c>
      <c r="G245" s="123">
        <f t="shared" si="164"/>
        <v>43464</v>
      </c>
      <c r="H245" s="123">
        <f t="shared" si="164"/>
        <v>39194</v>
      </c>
      <c r="I245" s="123">
        <f t="shared" si="164"/>
        <v>34539</v>
      </c>
      <c r="J245" s="123">
        <f t="shared" si="164"/>
        <v>29827</v>
      </c>
      <c r="K245" s="123">
        <f t="shared" si="164"/>
        <v>24077</v>
      </c>
      <c r="L245" s="123">
        <f t="shared" si="164"/>
        <v>20002</v>
      </c>
      <c r="M245" s="123">
        <f t="shared" si="164"/>
        <v>16002</v>
      </c>
      <c r="N245" s="123">
        <f t="shared" si="164"/>
        <v>10996</v>
      </c>
      <c r="O245" s="123">
        <f t="shared" si="164"/>
        <v>7746</v>
      </c>
      <c r="S245" s="101"/>
    </row>
    <row r="246" spans="2:19" ht="18" customHeight="1" outlineLevel="1" x14ac:dyDescent="0.2">
      <c r="B246" s="100" t="s">
        <v>293</v>
      </c>
      <c r="C246" s="123">
        <f t="shared" ref="C246:O246" si="165">C247*C240</f>
        <v>0</v>
      </c>
      <c r="D246" s="123">
        <f t="shared" si="165"/>
        <v>1765.3049999999998</v>
      </c>
      <c r="E246" s="123">
        <f t="shared" si="165"/>
        <v>2428.6949999999997</v>
      </c>
      <c r="F246" s="123">
        <f t="shared" si="165"/>
        <v>2372.67</v>
      </c>
      <c r="G246" s="123">
        <f t="shared" si="165"/>
        <v>2232.0450000000001</v>
      </c>
      <c r="H246" s="123">
        <f t="shared" si="165"/>
        <v>1955.8799999999999</v>
      </c>
      <c r="I246" s="123">
        <f t="shared" si="165"/>
        <v>1763.73</v>
      </c>
      <c r="J246" s="123">
        <f t="shared" si="165"/>
        <v>1554.2549999999999</v>
      </c>
      <c r="K246" s="123">
        <f t="shared" si="165"/>
        <v>1342.2149999999999</v>
      </c>
      <c r="L246" s="123">
        <f t="shared" si="165"/>
        <v>1083.4649999999999</v>
      </c>
      <c r="M246" s="123">
        <f t="shared" si="165"/>
        <v>900.08999999999992</v>
      </c>
      <c r="N246" s="123">
        <f t="shared" si="165"/>
        <v>720.08999999999992</v>
      </c>
      <c r="O246" s="123">
        <f t="shared" si="165"/>
        <v>494.82</v>
      </c>
      <c r="S246" s="101"/>
    </row>
    <row r="247" spans="2:19" ht="18" customHeight="1" outlineLevel="1" thickBot="1" x14ac:dyDescent="0.25">
      <c r="B247" s="100" t="s">
        <v>294</v>
      </c>
      <c r="C247" s="115">
        <v>4.4999999999999998E-2</v>
      </c>
      <c r="D247" s="115">
        <v>4.4999999999999998E-2</v>
      </c>
      <c r="E247" s="115">
        <v>4.4999999999999998E-2</v>
      </c>
      <c r="F247" s="115">
        <v>4.4999999999999998E-2</v>
      </c>
      <c r="G247" s="115">
        <v>4.4999999999999998E-2</v>
      </c>
      <c r="H247" s="115">
        <v>4.4999999999999998E-2</v>
      </c>
      <c r="I247" s="115">
        <v>4.4999999999999998E-2</v>
      </c>
      <c r="J247" s="115">
        <v>4.4999999999999998E-2</v>
      </c>
      <c r="K247" s="115">
        <v>4.4999999999999998E-2</v>
      </c>
      <c r="L247" s="115">
        <v>4.4999999999999998E-2</v>
      </c>
      <c r="M247" s="115">
        <v>4.4999999999999998E-2</v>
      </c>
      <c r="N247" s="115">
        <v>4.4999999999999998E-2</v>
      </c>
      <c r="O247" s="115">
        <v>4.4999999999999998E-2</v>
      </c>
      <c r="S247" s="101"/>
    </row>
    <row r="248" spans="2:19" ht="18" customHeight="1" outlineLevel="1" x14ac:dyDescent="0.2">
      <c r="B248" s="117" t="s">
        <v>295</v>
      </c>
      <c r="C248" s="212">
        <f>-C25</f>
        <v>1622</v>
      </c>
      <c r="D248" s="212">
        <f>-D25</f>
        <v>3953</v>
      </c>
      <c r="E248" s="212">
        <f>-E25</f>
        <v>3210</v>
      </c>
      <c r="F248" s="212">
        <f t="shared" ref="F248:O248" si="166">F246+F238+F227</f>
        <v>3030.4</v>
      </c>
      <c r="G248" s="212">
        <f t="shared" si="166"/>
        <v>2843.82</v>
      </c>
      <c r="H248" s="212">
        <f t="shared" si="166"/>
        <v>2315.88</v>
      </c>
      <c r="I248" s="212">
        <f t="shared" si="166"/>
        <v>2123.73</v>
      </c>
      <c r="J248" s="212">
        <f t="shared" si="166"/>
        <v>1554.2549999999999</v>
      </c>
      <c r="K248" s="212">
        <f t="shared" si="166"/>
        <v>1342.2149999999999</v>
      </c>
      <c r="L248" s="212">
        <f t="shared" si="166"/>
        <v>1083.4649999999999</v>
      </c>
      <c r="M248" s="212">
        <f t="shared" si="166"/>
        <v>900.08999999999992</v>
      </c>
      <c r="N248" s="212">
        <f t="shared" si="166"/>
        <v>720.08999999999992</v>
      </c>
      <c r="O248" s="213">
        <f t="shared" si="166"/>
        <v>494.82</v>
      </c>
      <c r="S248" s="101"/>
    </row>
    <row r="249" spans="2:19" ht="18" customHeight="1" outlineLevel="1" x14ac:dyDescent="0.2">
      <c r="B249" s="118" t="s">
        <v>296</v>
      </c>
      <c r="C249" s="123">
        <f t="shared" ref="C249:O249" si="167">C245+C237+C231+C225</f>
        <v>39229</v>
      </c>
      <c r="D249" s="123">
        <f t="shared" si="167"/>
        <v>67566</v>
      </c>
      <c r="E249" s="123">
        <f t="shared" si="167"/>
        <v>65136</v>
      </c>
      <c r="F249" s="123">
        <f t="shared" si="167"/>
        <v>63196</v>
      </c>
      <c r="G249" s="123">
        <f t="shared" si="167"/>
        <v>51464</v>
      </c>
      <c r="H249" s="123">
        <f t="shared" si="167"/>
        <v>47194</v>
      </c>
      <c r="I249" s="123">
        <f t="shared" si="167"/>
        <v>34539</v>
      </c>
      <c r="J249" s="123">
        <f t="shared" si="167"/>
        <v>29827</v>
      </c>
      <c r="K249" s="123">
        <f t="shared" si="167"/>
        <v>24077</v>
      </c>
      <c r="L249" s="123">
        <f t="shared" si="167"/>
        <v>20002</v>
      </c>
      <c r="M249" s="123">
        <f t="shared" si="167"/>
        <v>16002</v>
      </c>
      <c r="N249" s="123">
        <f t="shared" si="167"/>
        <v>10996</v>
      </c>
      <c r="O249" s="214">
        <f t="shared" si="167"/>
        <v>7746</v>
      </c>
      <c r="S249" s="101"/>
    </row>
    <row r="250" spans="2:19" ht="18" customHeight="1" outlineLevel="1" thickBot="1" x14ac:dyDescent="0.25">
      <c r="B250" s="118"/>
      <c r="C250" s="123"/>
      <c r="D250" s="123"/>
      <c r="E250" s="123"/>
      <c r="F250" s="123"/>
      <c r="G250" s="123"/>
      <c r="H250" s="123"/>
      <c r="I250" s="123"/>
      <c r="J250" s="123"/>
      <c r="K250" s="123"/>
      <c r="L250" s="123"/>
      <c r="M250" s="123"/>
      <c r="N250" s="123"/>
      <c r="O250" s="214"/>
      <c r="S250" s="101"/>
    </row>
    <row r="251" spans="2:19" ht="18" customHeight="1" outlineLevel="1" x14ac:dyDescent="0.2">
      <c r="B251" s="117" t="s">
        <v>297</v>
      </c>
      <c r="C251" s="216">
        <f t="shared" ref="C251:O251" si="168">C21/C248</f>
        <v>12.50924784217016</v>
      </c>
      <c r="D251" s="216">
        <f t="shared" si="168"/>
        <v>6.3900834809005822</v>
      </c>
      <c r="E251" s="216">
        <f t="shared" si="168"/>
        <v>10.880373831775701</v>
      </c>
      <c r="F251" s="216">
        <f t="shared" si="168"/>
        <v>11.305989584106062</v>
      </c>
      <c r="G251" s="216">
        <f t="shared" si="168"/>
        <v>14.442414892398249</v>
      </c>
      <c r="H251" s="216">
        <f t="shared" si="168"/>
        <v>20.28980871766024</v>
      </c>
      <c r="I251" s="216">
        <f t="shared" si="168"/>
        <v>25.669423244932993</v>
      </c>
      <c r="J251" s="216">
        <f t="shared" si="168"/>
        <v>38.024009123036905</v>
      </c>
      <c r="K251" s="216">
        <f t="shared" si="168"/>
        <v>47.465553765800841</v>
      </c>
      <c r="L251" s="216">
        <f t="shared" si="168"/>
        <v>62.925955702508915</v>
      </c>
      <c r="M251" s="216">
        <f t="shared" si="168"/>
        <v>80.254549725874327</v>
      </c>
      <c r="N251" s="216">
        <f t="shared" si="168"/>
        <v>104.3722677474068</v>
      </c>
      <c r="O251" s="217">
        <f t="shared" si="168"/>
        <v>156.73083160084317</v>
      </c>
      <c r="S251" s="101"/>
    </row>
    <row r="252" spans="2:19" ht="18" customHeight="1" outlineLevel="1" x14ac:dyDescent="0.2">
      <c r="B252" s="118" t="s">
        <v>298</v>
      </c>
      <c r="C252" s="218">
        <f t="shared" ref="C252:O252" si="169">(C21+C19)/(C248+C184)</f>
        <v>12.427007110118733</v>
      </c>
      <c r="D252" s="218">
        <f t="shared" si="169"/>
        <v>6.4013601764659311</v>
      </c>
      <c r="E252" s="218">
        <f t="shared" si="169"/>
        <v>10.72153866356393</v>
      </c>
      <c r="F252" s="218">
        <f t="shared" si="169"/>
        <v>11.196392333433538</v>
      </c>
      <c r="G252" s="218">
        <f t="shared" si="169"/>
        <v>14.248198763851097</v>
      </c>
      <c r="H252" s="218">
        <f t="shared" si="169"/>
        <v>19.881837151130313</v>
      </c>
      <c r="I252" s="218">
        <f t="shared" si="169"/>
        <v>25.086378926544374</v>
      </c>
      <c r="J252" s="218">
        <f t="shared" si="169"/>
        <v>36.730106839881302</v>
      </c>
      <c r="K252" s="218">
        <f t="shared" si="169"/>
        <v>45.587715587742821</v>
      </c>
      <c r="L252" s="218">
        <f t="shared" si="169"/>
        <v>59.788800242452474</v>
      </c>
      <c r="M252" s="218">
        <f t="shared" si="169"/>
        <v>75.283222165257925</v>
      </c>
      <c r="N252" s="218">
        <f t="shared" si="169"/>
        <v>96.166105756531735</v>
      </c>
      <c r="O252" s="219">
        <f t="shared" si="169"/>
        <v>138.33310497381268</v>
      </c>
      <c r="S252" s="101"/>
    </row>
    <row r="253" spans="2:19" ht="18" customHeight="1" outlineLevel="1" thickBot="1" x14ac:dyDescent="0.25">
      <c r="B253" s="118" t="s">
        <v>299</v>
      </c>
      <c r="C253" s="218">
        <f t="shared" ref="C253:O253" si="170">(C21+C19)/(C248+C19)</f>
        <v>11.897840046701694</v>
      </c>
      <c r="D253" s="218">
        <f t="shared" si="170"/>
        <v>6.146618357487923</v>
      </c>
      <c r="E253" s="218">
        <f t="shared" si="170"/>
        <v>10.350235849056604</v>
      </c>
      <c r="F253" s="218">
        <f t="shared" si="170"/>
        <v>10.165718975076308</v>
      </c>
      <c r="G253" s="218">
        <f t="shared" si="170"/>
        <v>12.511556880318713</v>
      </c>
      <c r="H253" s="218">
        <f t="shared" si="170"/>
        <v>16.415711559158765</v>
      </c>
      <c r="I253" s="218">
        <f t="shared" si="170"/>
        <v>19.475381728148147</v>
      </c>
      <c r="J253" s="218">
        <f t="shared" si="170"/>
        <v>24.71751992248371</v>
      </c>
      <c r="K253" s="218">
        <f t="shared" si="170"/>
        <v>26.833143795297588</v>
      </c>
      <c r="L253" s="218">
        <f t="shared" si="170"/>
        <v>28.777096995907129</v>
      </c>
      <c r="M253" s="218">
        <f t="shared" si="170"/>
        <v>28.952081495073532</v>
      </c>
      <c r="N253" s="218">
        <f t="shared" si="170"/>
        <v>27.852424085159626</v>
      </c>
      <c r="O253" s="223">
        <f t="shared" si="170"/>
        <v>26.291526933894755</v>
      </c>
      <c r="S253" s="101"/>
    </row>
    <row r="254" spans="2:19" ht="18" customHeight="1" outlineLevel="1" x14ac:dyDescent="0.2">
      <c r="B254" s="117" t="s">
        <v>300</v>
      </c>
      <c r="C254" s="216">
        <f t="shared" ref="C254:O254" si="171">C249/C21</f>
        <v>1.9334154756037456</v>
      </c>
      <c r="D254" s="216">
        <f t="shared" si="171"/>
        <v>2.6748218527315912</v>
      </c>
      <c r="E254" s="216">
        <f t="shared" si="171"/>
        <v>1.8649716543549217</v>
      </c>
      <c r="F254" s="216">
        <f t="shared" si="171"/>
        <v>1.844510161314056</v>
      </c>
      <c r="G254" s="216">
        <f t="shared" si="171"/>
        <v>1.253030427717825</v>
      </c>
      <c r="H254" s="216">
        <f t="shared" si="171"/>
        <v>1.0043678057748024</v>
      </c>
      <c r="I254" s="216">
        <f t="shared" si="171"/>
        <v>0.63356962316540133</v>
      </c>
      <c r="J254" s="216">
        <f t="shared" si="171"/>
        <v>0.50469545712546726</v>
      </c>
      <c r="K254" s="216">
        <f t="shared" si="171"/>
        <v>0.37792161579431538</v>
      </c>
      <c r="L254" s="216">
        <f t="shared" si="171"/>
        <v>0.29337879211563811</v>
      </c>
      <c r="M254" s="216">
        <f t="shared" si="171"/>
        <v>0.22152291974109059</v>
      </c>
      <c r="N254" s="216">
        <f t="shared" si="171"/>
        <v>0.14630623404675899</v>
      </c>
      <c r="O254" s="217">
        <f t="shared" si="171"/>
        <v>9.9879373552058726E-2</v>
      </c>
      <c r="S254" s="101"/>
    </row>
    <row r="255" spans="2:19" ht="18" customHeight="1" outlineLevel="1" thickBot="1" x14ac:dyDescent="0.25">
      <c r="B255" s="119" t="s">
        <v>301</v>
      </c>
      <c r="C255" s="222">
        <f t="shared" ref="C255:O255" si="172">(C249+C181)/(C21+C19)</f>
        <v>1.9453412492026887</v>
      </c>
      <c r="D255" s="222">
        <f t="shared" si="172"/>
        <v>2.7082170786340236</v>
      </c>
      <c r="E255" s="222">
        <f t="shared" si="172"/>
        <v>1.8930443203828187</v>
      </c>
      <c r="F255" s="222">
        <f t="shared" si="172"/>
        <v>1.8680663385431266</v>
      </c>
      <c r="G255" s="222">
        <f t="shared" si="172"/>
        <v>1.2773123676948892</v>
      </c>
      <c r="H255" s="222">
        <f t="shared" si="172"/>
        <v>1.0262684244160265</v>
      </c>
      <c r="I255" s="222">
        <f t="shared" si="172"/>
        <v>0.65513537523731269</v>
      </c>
      <c r="J255" s="222">
        <f t="shared" si="172"/>
        <v>0.52484703209159789</v>
      </c>
      <c r="K255" s="222">
        <f t="shared" si="172"/>
        <v>0.3972216639359562</v>
      </c>
      <c r="L255" s="222">
        <f t="shared" si="172"/>
        <v>0.31225024354214254</v>
      </c>
      <c r="M255" s="222">
        <f t="shared" si="172"/>
        <v>0.24000976441621003</v>
      </c>
      <c r="N255" s="222">
        <f t="shared" si="172"/>
        <v>0.16524800139694598</v>
      </c>
      <c r="O255" s="223">
        <f t="shared" si="172"/>
        <v>0.119104863430378</v>
      </c>
      <c r="S255" s="101"/>
    </row>
    <row r="256" spans="2:19" ht="18" customHeight="1" outlineLevel="1" x14ac:dyDescent="0.2">
      <c r="B256" s="100"/>
      <c r="C256" s="113"/>
      <c r="D256" s="113"/>
      <c r="E256" s="113"/>
      <c r="F256" s="115"/>
      <c r="G256" s="115"/>
      <c r="H256" s="115"/>
      <c r="I256" s="115"/>
      <c r="J256" s="115"/>
      <c r="K256" s="115"/>
      <c r="L256" s="115"/>
      <c r="M256" s="115"/>
      <c r="N256" s="115"/>
      <c r="O256" s="115"/>
    </row>
    <row r="257" spans="2:17" ht="18" customHeight="1" x14ac:dyDescent="0.2">
      <c r="B257" s="2" t="s">
        <v>302</v>
      </c>
      <c r="C257" s="287" t="str">
        <f>C$5</f>
        <v>2023A</v>
      </c>
      <c r="D257" s="287" t="str">
        <f t="shared" ref="D257:O257" si="173">D$5</f>
        <v>2024A</v>
      </c>
      <c r="E257" s="287" t="str">
        <f t="shared" si="173"/>
        <v>2025A</v>
      </c>
      <c r="F257" s="287" t="str">
        <f t="shared" si="173"/>
        <v>2026P</v>
      </c>
      <c r="G257" s="287" t="str">
        <f t="shared" si="173"/>
        <v>2027P</v>
      </c>
      <c r="H257" s="287" t="str">
        <f t="shared" si="173"/>
        <v>2028P</v>
      </c>
      <c r="I257" s="287" t="str">
        <f t="shared" si="173"/>
        <v xml:space="preserve">2029P </v>
      </c>
      <c r="J257" s="287" t="str">
        <f t="shared" si="173"/>
        <v>2030P</v>
      </c>
      <c r="K257" s="287" t="str">
        <f t="shared" si="173"/>
        <v>2031P</v>
      </c>
      <c r="L257" s="287" t="str">
        <f t="shared" si="173"/>
        <v>2032P</v>
      </c>
      <c r="M257" s="287" t="str">
        <f t="shared" si="173"/>
        <v xml:space="preserve">2033P </v>
      </c>
      <c r="N257" s="287" t="str">
        <f t="shared" si="173"/>
        <v>2034P</v>
      </c>
      <c r="O257" s="287" t="str">
        <f t="shared" si="173"/>
        <v>2035P</v>
      </c>
    </row>
    <row r="258" spans="2:17" ht="18" customHeight="1" outlineLevel="1" x14ac:dyDescent="0.2">
      <c r="B258" s="100" t="s">
        <v>303</v>
      </c>
      <c r="C258" s="107">
        <v>22709</v>
      </c>
      <c r="D258" s="101">
        <f t="shared" ref="D258:O258" si="174">C263</f>
        <v>23988</v>
      </c>
      <c r="E258" s="101">
        <f t="shared" si="174"/>
        <v>67678</v>
      </c>
      <c r="F258" s="101">
        <f t="shared" si="174"/>
        <v>81292</v>
      </c>
      <c r="G258" s="101">
        <f t="shared" si="174"/>
        <v>90631.297580644314</v>
      </c>
      <c r="H258" s="101">
        <f t="shared" si="174"/>
        <v>104005.14206439581</v>
      </c>
      <c r="I258" s="101">
        <f t="shared" si="174"/>
        <v>120623.81110521882</v>
      </c>
      <c r="J258" s="101">
        <f t="shared" si="174"/>
        <v>141351.99152444865</v>
      </c>
      <c r="K258" s="101">
        <f t="shared" si="174"/>
        <v>162792.60317876292</v>
      </c>
      <c r="L258" s="101">
        <f t="shared" si="174"/>
        <v>185993.55365565445</v>
      </c>
      <c r="M258" s="101">
        <f t="shared" si="174"/>
        <v>212193.70661152946</v>
      </c>
      <c r="N258" s="101">
        <f t="shared" si="174"/>
        <v>240218.07800110421</v>
      </c>
      <c r="O258" s="101">
        <f t="shared" si="174"/>
        <v>269846.08847714134</v>
      </c>
    </row>
    <row r="259" spans="2:17" ht="18" customHeight="1" outlineLevel="1" x14ac:dyDescent="0.2">
      <c r="B259" s="100" t="s">
        <v>304</v>
      </c>
      <c r="C259" s="107">
        <v>-7329</v>
      </c>
      <c r="D259" s="107">
        <v>41939</v>
      </c>
      <c r="E259" s="107">
        <f>-5938</f>
        <v>-5938</v>
      </c>
      <c r="F259" s="114">
        <v>-8000</v>
      </c>
      <c r="G259" s="114">
        <v>-8000</v>
      </c>
      <c r="H259" s="114">
        <v>-8000</v>
      </c>
      <c r="I259" s="114">
        <v>-8000</v>
      </c>
      <c r="J259" s="114">
        <v>-10000</v>
      </c>
      <c r="K259" s="114">
        <v>-10000</v>
      </c>
      <c r="L259" s="114">
        <v>-10000</v>
      </c>
      <c r="M259" s="114">
        <v>-10000</v>
      </c>
      <c r="N259" s="114">
        <v>-10000</v>
      </c>
      <c r="O259" s="114">
        <v>-10000</v>
      </c>
    </row>
    <row r="260" spans="2:17" ht="18" customHeight="1" outlineLevel="1" x14ac:dyDescent="0.2">
      <c r="B260" s="100" t="s">
        <v>42</v>
      </c>
      <c r="C260" s="123">
        <f t="shared" ref="C260:O260" si="175">C20</f>
        <v>2171</v>
      </c>
      <c r="D260" s="123">
        <f t="shared" si="175"/>
        <v>5670</v>
      </c>
      <c r="E260" s="123">
        <f t="shared" si="175"/>
        <v>7568</v>
      </c>
      <c r="F260" s="123">
        <f t="shared" si="175"/>
        <v>7815.0433700000012</v>
      </c>
      <c r="G260" s="123">
        <f t="shared" si="175"/>
        <v>8666.0467217999994</v>
      </c>
      <c r="H260" s="123">
        <f t="shared" si="175"/>
        <v>9254.8804991399993</v>
      </c>
      <c r="I260" s="123">
        <f t="shared" si="175"/>
        <v>10282.244020540198</v>
      </c>
      <c r="J260" s="123">
        <f t="shared" si="175"/>
        <v>11195.11874093022</v>
      </c>
      <c r="K260" s="123">
        <f t="shared" si="175"/>
        <v>11327.510368295385</v>
      </c>
      <c r="L260" s="123">
        <f t="shared" si="175"/>
        <v>12049.05771106238</v>
      </c>
      <c r="M260" s="123">
        <f t="shared" si="175"/>
        <v>11950.840146251194</v>
      </c>
      <c r="N260" s="123">
        <f t="shared" si="175"/>
        <v>12500.406922891278</v>
      </c>
      <c r="O260" s="123">
        <f t="shared" si="175"/>
        <v>12975.715956010605</v>
      </c>
    </row>
    <row r="261" spans="2:17" ht="18" customHeight="1" outlineLevel="1" x14ac:dyDescent="0.2">
      <c r="B261" s="100" t="s">
        <v>64</v>
      </c>
      <c r="C261" s="101">
        <f t="shared" ref="C261:O261" si="176">C32</f>
        <v>14082</v>
      </c>
      <c r="D261" s="101">
        <f t="shared" si="176"/>
        <v>5895</v>
      </c>
      <c r="E261" s="101">
        <f t="shared" si="176"/>
        <v>23126</v>
      </c>
      <c r="F261" s="101">
        <f t="shared" si="176"/>
        <v>19048.508421288632</v>
      </c>
      <c r="G261" s="101">
        <f t="shared" si="176"/>
        <v>25934.281146839799</v>
      </c>
      <c r="H261" s="101">
        <f t="shared" si="176"/>
        <v>32007.89279517292</v>
      </c>
      <c r="I261" s="101">
        <f t="shared" si="176"/>
        <v>39246.673188701359</v>
      </c>
      <c r="J261" s="101">
        <f t="shared" si="176"/>
        <v>44011.941116052272</v>
      </c>
      <c r="K261" s="101">
        <f t="shared" si="176"/>
        <v>48607.644685769192</v>
      </c>
      <c r="L261" s="101">
        <f t="shared" si="176"/>
        <v>53669.100544028079</v>
      </c>
      <c r="M261" s="101">
        <f t="shared" si="176"/>
        <v>57941.180540718997</v>
      </c>
      <c r="N261" s="101">
        <f t="shared" si="176"/>
        <v>60283.563451435257</v>
      </c>
      <c r="O261" s="101">
        <f t="shared" si="176"/>
        <v>62406.910830712703</v>
      </c>
    </row>
    <row r="262" spans="2:17" ht="18" customHeight="1" outlineLevel="1" x14ac:dyDescent="0.35">
      <c r="B262" s="100" t="s">
        <v>305</v>
      </c>
      <c r="C262" s="108">
        <v>-7645</v>
      </c>
      <c r="D262" s="108">
        <v>-9814</v>
      </c>
      <c r="E262" s="108">
        <v>-11142</v>
      </c>
      <c r="F262" s="102">
        <f t="shared" ref="F262:O262" si="177">-F261*F267</f>
        <v>-9524.2542106443161</v>
      </c>
      <c r="G262" s="102">
        <f t="shared" si="177"/>
        <v>-13226.483384888297</v>
      </c>
      <c r="H262" s="102">
        <f t="shared" si="177"/>
        <v>-16644.104253489921</v>
      </c>
      <c r="I262" s="102">
        <f>-I261*I267</f>
        <v>-20800.736790011721</v>
      </c>
      <c r="J262" s="102">
        <f t="shared" si="177"/>
        <v>-23766.448202668227</v>
      </c>
      <c r="K262" s="102">
        <f t="shared" si="177"/>
        <v>-26734.204577173059</v>
      </c>
      <c r="L262" s="102">
        <f t="shared" si="177"/>
        <v>-29518.005299215445</v>
      </c>
      <c r="M262" s="102">
        <f t="shared" si="177"/>
        <v>-31867.649297395452</v>
      </c>
      <c r="N262" s="102">
        <f t="shared" si="177"/>
        <v>-33155.959898289395</v>
      </c>
      <c r="O262" s="102">
        <f t="shared" si="177"/>
        <v>-34323.800956891988</v>
      </c>
    </row>
    <row r="263" spans="2:17" ht="18" customHeight="1" outlineLevel="1" x14ac:dyDescent="0.2">
      <c r="B263" s="100" t="s">
        <v>306</v>
      </c>
      <c r="C263" s="101">
        <f>SUM(C258:C262)</f>
        <v>23988</v>
      </c>
      <c r="D263" s="101">
        <f t="shared" ref="D263:O263" si="178">SUM(D258:D262)</f>
        <v>67678</v>
      </c>
      <c r="E263" s="101">
        <f t="shared" si="178"/>
        <v>81292</v>
      </c>
      <c r="F263" s="101">
        <f t="shared" si="178"/>
        <v>90631.297580644314</v>
      </c>
      <c r="G263" s="101">
        <f t="shared" si="178"/>
        <v>104005.14206439581</v>
      </c>
      <c r="H263" s="101">
        <f t="shared" si="178"/>
        <v>120623.81110521882</v>
      </c>
      <c r="I263" s="101">
        <f t="shared" si="178"/>
        <v>141351.99152444865</v>
      </c>
      <c r="J263" s="101">
        <f t="shared" si="178"/>
        <v>162792.60317876292</v>
      </c>
      <c r="K263" s="101">
        <f t="shared" si="178"/>
        <v>185993.55365565445</v>
      </c>
      <c r="L263" s="101">
        <f t="shared" si="178"/>
        <v>212193.70661152946</v>
      </c>
      <c r="M263" s="101">
        <f t="shared" si="178"/>
        <v>240218.07800110421</v>
      </c>
      <c r="N263" s="101">
        <f t="shared" si="178"/>
        <v>269846.08847714134</v>
      </c>
      <c r="O263" s="101">
        <f t="shared" si="178"/>
        <v>300904.9143069727</v>
      </c>
      <c r="Q263" t="s">
        <v>447</v>
      </c>
    </row>
    <row r="264" spans="2:17" ht="18" customHeight="1" outlineLevel="1" x14ac:dyDescent="0.2">
      <c r="B264" s="100" t="s">
        <v>307</v>
      </c>
      <c r="C264" s="123">
        <f t="shared" ref="C264:O264" si="179">C131</f>
        <v>12539</v>
      </c>
      <c r="D264" s="123">
        <f t="shared" si="179"/>
        <v>8177</v>
      </c>
      <c r="E264" s="123">
        <f t="shared" si="179"/>
        <v>13939</v>
      </c>
      <c r="F264" s="123">
        <f t="shared" si="179"/>
        <v>13939</v>
      </c>
      <c r="G264" s="123">
        <f t="shared" si="179"/>
        <v>13939</v>
      </c>
      <c r="H264" s="123">
        <f t="shared" si="179"/>
        <v>13939</v>
      </c>
      <c r="I264" s="123">
        <f t="shared" si="179"/>
        <v>13939</v>
      </c>
      <c r="J264" s="123">
        <f t="shared" si="179"/>
        <v>13939</v>
      </c>
      <c r="K264" s="123">
        <f t="shared" si="179"/>
        <v>13939</v>
      </c>
      <c r="L264" s="123">
        <f t="shared" si="179"/>
        <v>13939</v>
      </c>
      <c r="M264" s="123">
        <f t="shared" si="179"/>
        <v>13939</v>
      </c>
      <c r="N264" s="123">
        <f t="shared" si="179"/>
        <v>13939</v>
      </c>
      <c r="O264" s="123">
        <f t="shared" si="179"/>
        <v>13939</v>
      </c>
    </row>
    <row r="265" spans="2:17" ht="18" customHeight="1" outlineLevel="1" x14ac:dyDescent="0.2">
      <c r="B265" s="100" t="s">
        <v>308</v>
      </c>
      <c r="C265" s="123">
        <f t="shared" ref="C265:O265" si="180">C135</f>
        <v>2365</v>
      </c>
      <c r="D265" s="123">
        <f t="shared" si="180"/>
        <v>1650</v>
      </c>
      <c r="E265" s="123">
        <f t="shared" si="180"/>
        <v>1171</v>
      </c>
      <c r="F265" s="123">
        <f t="shared" si="180"/>
        <v>2239</v>
      </c>
      <c r="G265" s="123">
        <f t="shared" si="180"/>
        <v>13266.064778960557</v>
      </c>
      <c r="H265" s="123">
        <f t="shared" si="180"/>
        <v>18663.841511809216</v>
      </c>
      <c r="I265" s="123">
        <f t="shared" si="180"/>
        <v>32729.855365275344</v>
      </c>
      <c r="J265" s="123">
        <f t="shared" si="180"/>
        <v>42360.966505128294</v>
      </c>
      <c r="K265" s="123">
        <f t="shared" si="180"/>
        <v>58171.672537223116</v>
      </c>
      <c r="L265" s="123">
        <f t="shared" si="180"/>
        <v>74220.117647142193</v>
      </c>
      <c r="M265" s="123">
        <f t="shared" si="180"/>
        <v>93811.72479507231</v>
      </c>
      <c r="N265" s="123">
        <f t="shared" si="180"/>
        <v>113341.7217871449</v>
      </c>
      <c r="O265" s="123">
        <f t="shared" si="180"/>
        <v>134153.58131537767</v>
      </c>
    </row>
    <row r="266" spans="2:17" ht="18" customHeight="1" outlineLevel="1" x14ac:dyDescent="0.2">
      <c r="B266" s="100" t="s">
        <v>309</v>
      </c>
      <c r="C266" s="130"/>
      <c r="D266" s="130"/>
      <c r="E266" s="130"/>
      <c r="F266" s="115"/>
      <c r="G266" s="115"/>
      <c r="H266" s="115"/>
      <c r="I266" s="115"/>
      <c r="J266" s="115"/>
      <c r="K266" s="115"/>
      <c r="L266" s="115"/>
      <c r="M266" s="115"/>
      <c r="N266" s="115"/>
      <c r="O266" s="115"/>
    </row>
    <row r="267" spans="2:17" ht="18" customHeight="1" outlineLevel="1" x14ac:dyDescent="0.2">
      <c r="B267" s="100" t="s">
        <v>310</v>
      </c>
      <c r="C267" s="130">
        <f>-C262/C261</f>
        <v>0.54289163471097857</v>
      </c>
      <c r="D267" s="130">
        <f>-D262/D261</f>
        <v>1.6648006785411364</v>
      </c>
      <c r="E267" s="130">
        <f>-E262/E261</f>
        <v>0.48179538182132664</v>
      </c>
      <c r="F267" s="115">
        <v>0.5</v>
      </c>
      <c r="G267" s="115">
        <v>0.51</v>
      </c>
      <c r="H267" s="115">
        <v>0.52</v>
      </c>
      <c r="I267" s="115">
        <v>0.53</v>
      </c>
      <c r="J267" s="115">
        <v>0.54</v>
      </c>
      <c r="K267" s="115">
        <v>0.55000000000000004</v>
      </c>
      <c r="L267" s="115">
        <v>0.55000000000000004</v>
      </c>
      <c r="M267" s="115">
        <v>0.55000000000000004</v>
      </c>
      <c r="N267" s="115">
        <v>0.55000000000000004</v>
      </c>
      <c r="O267" s="115">
        <v>0.55000000000000004</v>
      </c>
    </row>
    <row r="268" spans="2:17" ht="18" customHeight="1" outlineLevel="1" x14ac:dyDescent="0.2">
      <c r="C268" s="120"/>
    </row>
    <row r="269" spans="2:17" ht="18" customHeight="1" x14ac:dyDescent="0.2">
      <c r="B269" s="2" t="s">
        <v>311</v>
      </c>
      <c r="C269" s="3"/>
      <c r="D269" s="3"/>
      <c r="E269" s="3"/>
      <c r="F269" s="3" t="str">
        <f t="shared" ref="F269:O269" si="181">F5</f>
        <v>2026P</v>
      </c>
      <c r="G269" s="3" t="str">
        <f t="shared" si="181"/>
        <v>2027P</v>
      </c>
      <c r="H269" s="3" t="str">
        <f t="shared" si="181"/>
        <v>2028P</v>
      </c>
      <c r="I269" s="3" t="str">
        <f t="shared" si="181"/>
        <v xml:space="preserve">2029P </v>
      </c>
      <c r="J269" s="3" t="str">
        <f t="shared" si="181"/>
        <v>2030P</v>
      </c>
      <c r="K269" s="3" t="str">
        <f t="shared" si="181"/>
        <v>2031P</v>
      </c>
      <c r="L269" s="3" t="str">
        <f t="shared" si="181"/>
        <v>2032P</v>
      </c>
      <c r="M269" s="3" t="str">
        <f t="shared" si="181"/>
        <v xml:space="preserve">2033P </v>
      </c>
      <c r="N269" s="3" t="str">
        <f t="shared" si="181"/>
        <v>2034P</v>
      </c>
      <c r="O269" s="3" t="str">
        <f t="shared" si="181"/>
        <v>2035P</v>
      </c>
    </row>
    <row r="270" spans="2:17" ht="18" customHeight="1" x14ac:dyDescent="0.2">
      <c r="B270" t="s">
        <v>448</v>
      </c>
      <c r="C270" s="101"/>
      <c r="D270" s="101"/>
      <c r="E270" s="101"/>
      <c r="F270" s="101">
        <f t="shared" ref="F270:O270" si="182">F24</f>
        <v>25749.17083567501</v>
      </c>
      <c r="G270" s="101">
        <f t="shared" si="182"/>
        <v>33346.991223294244</v>
      </c>
      <c r="H270" s="101">
        <f t="shared" si="182"/>
        <v>39866.670783377253</v>
      </c>
      <c r="I270" s="101">
        <f t="shared" si="182"/>
        <v>47754.352878998994</v>
      </c>
      <c r="J270" s="101">
        <f t="shared" si="182"/>
        <v>52488.242019665384</v>
      </c>
      <c r="K270" s="101">
        <f t="shared" si="182"/>
        <v>57117.570047360037</v>
      </c>
      <c r="L270" s="101">
        <f t="shared" si="182"/>
        <v>62248.013979600408</v>
      </c>
      <c r="M270" s="101">
        <f t="shared" si="182"/>
        <v>66360.014109193056</v>
      </c>
      <c r="N270" s="101">
        <f t="shared" si="182"/>
        <v>68166.956230094991</v>
      </c>
      <c r="O270" s="101">
        <f t="shared" si="182"/>
        <v>69612.600309008689</v>
      </c>
    </row>
    <row r="271" spans="2:17" ht="18" customHeight="1" x14ac:dyDescent="0.35">
      <c r="B271" t="s">
        <v>400</v>
      </c>
      <c r="C271" s="102"/>
      <c r="D271" s="102"/>
      <c r="E271" s="102"/>
      <c r="F271" s="102">
        <f t="shared" ref="F271:O271" si="183">F184</f>
        <v>63.335000000000001</v>
      </c>
      <c r="G271" s="102">
        <f t="shared" si="183"/>
        <v>72.241813000000008</v>
      </c>
      <c r="H271" s="102">
        <f t="shared" si="183"/>
        <v>76.794371661400007</v>
      </c>
      <c r="I271" s="102">
        <f t="shared" si="183"/>
        <v>77.740542626814928</v>
      </c>
      <c r="J271" s="102">
        <f t="shared" si="183"/>
        <v>78.492940564376681</v>
      </c>
      <c r="K271" s="102">
        <f t="shared" si="183"/>
        <v>78.803303123353885</v>
      </c>
      <c r="L271" s="102">
        <f t="shared" si="183"/>
        <v>79.128501012650219</v>
      </c>
      <c r="M271" s="102">
        <f t="shared" si="183"/>
        <v>81.381243361054899</v>
      </c>
      <c r="N271" s="102">
        <f t="shared" si="183"/>
        <v>82.785666793713318</v>
      </c>
      <c r="O271" s="102">
        <f t="shared" si="183"/>
        <v>84.257221666452821</v>
      </c>
    </row>
    <row r="272" spans="2:17" ht="18" customHeight="1" x14ac:dyDescent="0.2">
      <c r="B272" t="s">
        <v>401</v>
      </c>
      <c r="C272" s="101"/>
      <c r="D272" s="101"/>
      <c r="E272" s="101"/>
      <c r="F272" s="101">
        <f t="shared" ref="F272:O272" si="184">SUM(F270:F271)</f>
        <v>25812.505835675009</v>
      </c>
      <c r="G272" s="101">
        <f t="shared" si="184"/>
        <v>33419.233036294245</v>
      </c>
      <c r="H272" s="101">
        <f t="shared" si="184"/>
        <v>39943.465155038655</v>
      </c>
      <c r="I272" s="101">
        <f t="shared" si="184"/>
        <v>47832.09342162581</v>
      </c>
      <c r="J272" s="101">
        <f t="shared" si="184"/>
        <v>52566.734960229762</v>
      </c>
      <c r="K272" s="101">
        <f t="shared" si="184"/>
        <v>57196.373350483394</v>
      </c>
      <c r="L272" s="101">
        <f t="shared" si="184"/>
        <v>62327.14248061306</v>
      </c>
      <c r="M272" s="101">
        <f t="shared" si="184"/>
        <v>66441.395352554115</v>
      </c>
      <c r="N272" s="101">
        <f t="shared" si="184"/>
        <v>68249.741896888707</v>
      </c>
      <c r="O272" s="101">
        <f t="shared" si="184"/>
        <v>69696.857530675145</v>
      </c>
    </row>
    <row r="273" spans="1:21" ht="18" customHeight="1" x14ac:dyDescent="0.35">
      <c r="B273" t="s">
        <v>449</v>
      </c>
      <c r="C273" s="102"/>
      <c r="D273" s="102"/>
      <c r="E273" s="102"/>
      <c r="F273" s="102">
        <f t="shared" ref="F273:O273" si="185">-(F272*$F$47)</f>
        <v>-4259.0634628863763</v>
      </c>
      <c r="G273" s="102">
        <f t="shared" si="185"/>
        <v>-5514.1734509885509</v>
      </c>
      <c r="H273" s="102">
        <f t="shared" si="185"/>
        <v>-6590.6717505813785</v>
      </c>
      <c r="I273" s="102">
        <f t="shared" si="185"/>
        <v>-7892.2954145682588</v>
      </c>
      <c r="J273" s="102">
        <f t="shared" si="185"/>
        <v>-8673.511268437911</v>
      </c>
      <c r="K273" s="102">
        <f t="shared" si="185"/>
        <v>-9437.401602829761</v>
      </c>
      <c r="L273" s="102">
        <f t="shared" si="185"/>
        <v>-10283.978509301156</v>
      </c>
      <c r="M273" s="102">
        <f t="shared" si="185"/>
        <v>-10962.830233171429</v>
      </c>
      <c r="N273" s="102">
        <f t="shared" si="185"/>
        <v>-11261.207412986638</v>
      </c>
      <c r="O273" s="102">
        <f t="shared" si="185"/>
        <v>-11499.981492561399</v>
      </c>
    </row>
    <row r="274" spans="1:21" s="1" customFormat="1" ht="18" customHeight="1" x14ac:dyDescent="0.2">
      <c r="A274"/>
      <c r="B274" t="s">
        <v>450</v>
      </c>
      <c r="C274" s="101"/>
      <c r="D274" s="101"/>
      <c r="E274" s="101"/>
      <c r="F274" s="101">
        <f t="shared" ref="F274:O274" si="186">SUM(F272:F273)</f>
        <v>21553.442372788631</v>
      </c>
      <c r="G274" s="101">
        <f t="shared" si="186"/>
        <v>27905.059585305695</v>
      </c>
      <c r="H274" s="101">
        <f t="shared" si="186"/>
        <v>33352.793404457276</v>
      </c>
      <c r="I274" s="101">
        <f t="shared" si="186"/>
        <v>39939.79800705755</v>
      </c>
      <c r="J274" s="101">
        <f t="shared" si="186"/>
        <v>43893.223691791849</v>
      </c>
      <c r="K274" s="101">
        <f t="shared" si="186"/>
        <v>47758.971747653632</v>
      </c>
      <c r="L274" s="101">
        <f t="shared" si="186"/>
        <v>52043.163971311908</v>
      </c>
      <c r="M274" s="101">
        <f t="shared" si="186"/>
        <v>55478.565119382685</v>
      </c>
      <c r="N274" s="101">
        <f t="shared" si="186"/>
        <v>56988.534483902069</v>
      </c>
      <c r="O274" s="101">
        <f t="shared" si="186"/>
        <v>58196.876038113747</v>
      </c>
      <c r="Q274"/>
      <c r="R274"/>
      <c r="S274"/>
      <c r="T274"/>
      <c r="U274"/>
    </row>
    <row r="275" spans="1:21" s="1" customFormat="1" ht="18" customHeight="1" x14ac:dyDescent="0.2">
      <c r="A275"/>
      <c r="B275" t="s">
        <v>451</v>
      </c>
      <c r="C275" s="101"/>
      <c r="D275" s="101"/>
      <c r="E275" s="101"/>
      <c r="F275" s="101">
        <f t="shared" ref="F275:O275" si="187">F22</f>
        <v>8512.5</v>
      </c>
      <c r="G275" s="101">
        <f t="shared" si="187"/>
        <v>7724.6370960057502</v>
      </c>
      <c r="H275" s="101">
        <f t="shared" si="187"/>
        <v>7122.0914296777501</v>
      </c>
      <c r="I275" s="101">
        <f t="shared" si="187"/>
        <v>6760.5713489625496</v>
      </c>
      <c r="J275" s="101">
        <f t="shared" si="187"/>
        <v>6610.7642798603374</v>
      </c>
      <c r="K275" s="101">
        <f t="shared" si="187"/>
        <v>6591.4082004043312</v>
      </c>
      <c r="L275" s="101">
        <f t="shared" si="187"/>
        <v>5930.0566156184032</v>
      </c>
      <c r="M275" s="101">
        <f t="shared" si="187"/>
        <v>5876.3035535691633</v>
      </c>
      <c r="N275" s="101">
        <f t="shared" si="187"/>
        <v>6990.470052135166</v>
      </c>
      <c r="O275" s="101">
        <f t="shared" si="187"/>
        <v>7940.9497837205254</v>
      </c>
      <c r="Q275"/>
      <c r="R275"/>
      <c r="S275"/>
      <c r="T275"/>
      <c r="U275"/>
    </row>
    <row r="276" spans="1:21" s="1" customFormat="1" ht="18" customHeight="1" x14ac:dyDescent="0.2">
      <c r="A276"/>
      <c r="B276" t="s">
        <v>452</v>
      </c>
      <c r="C276" s="101"/>
      <c r="D276" s="101"/>
      <c r="E276" s="101"/>
      <c r="F276" s="101">
        <f t="shared" ref="F276:O276" si="188">-(F190+F191+F180+F164)</f>
        <v>-2668.6745351750005</v>
      </c>
      <c r="G276" s="101">
        <f t="shared" si="188"/>
        <v>-3920.8079164999999</v>
      </c>
      <c r="H276" s="101">
        <f t="shared" si="188"/>
        <v>-5409.5202634350007</v>
      </c>
      <c r="I276" s="101">
        <f t="shared" si="188"/>
        <v>-6076.7398997295486</v>
      </c>
      <c r="J276" s="101">
        <f t="shared" si="188"/>
        <v>-7952.436973372085</v>
      </c>
      <c r="K276" s="101">
        <f t="shared" si="188"/>
        <v>-8662.7276020821719</v>
      </c>
      <c r="L276" s="101">
        <f t="shared" si="188"/>
        <v>-9450.8331574833737</v>
      </c>
      <c r="M276" s="101">
        <f t="shared" si="188"/>
        <v>-11683.521373399444</v>
      </c>
      <c r="N276" s="101">
        <f t="shared" si="188"/>
        <v>-12547.218341189515</v>
      </c>
      <c r="O276" s="101">
        <f t="shared" si="188"/>
        <v>-13448.260337883947</v>
      </c>
      <c r="Q276"/>
      <c r="R276"/>
      <c r="S276"/>
      <c r="T276"/>
      <c r="U276"/>
    </row>
    <row r="277" spans="1:21" s="1" customFormat="1" ht="18" customHeight="1" x14ac:dyDescent="0.2">
      <c r="A277"/>
      <c r="B277" t="s">
        <v>453</v>
      </c>
      <c r="C277" s="131"/>
      <c r="D277" s="131"/>
      <c r="E277" s="131"/>
      <c r="F277" s="131">
        <f t="shared" ref="F277:O277" si="189">-F154</f>
        <v>-2716.0582665087677</v>
      </c>
      <c r="G277" s="131">
        <f t="shared" si="189"/>
        <v>-547.8969304086022</v>
      </c>
      <c r="H277" s="131">
        <f t="shared" si="189"/>
        <v>-520.22635359962806</v>
      </c>
      <c r="I277" s="131">
        <f t="shared" si="189"/>
        <v>224.09927139011779</v>
      </c>
      <c r="J277" s="131">
        <f t="shared" si="189"/>
        <v>-376.23292870770456</v>
      </c>
      <c r="K277" s="131">
        <f t="shared" si="189"/>
        <v>-331.18596529459319</v>
      </c>
      <c r="L277" s="131">
        <f t="shared" si="189"/>
        <v>-312.769266079933</v>
      </c>
      <c r="M277" s="131">
        <f t="shared" si="189"/>
        <v>-287.15657767188532</v>
      </c>
      <c r="N277" s="131">
        <f t="shared" si="189"/>
        <v>-253.40265874999022</v>
      </c>
      <c r="O277" s="131">
        <f t="shared" si="189"/>
        <v>-212.52156059678964</v>
      </c>
      <c r="Q277"/>
      <c r="R277"/>
      <c r="S277"/>
      <c r="T277"/>
      <c r="U277"/>
    </row>
    <row r="278" spans="1:21" s="1" customFormat="1" ht="18" customHeight="1" x14ac:dyDescent="0.2">
      <c r="A278"/>
      <c r="B278" t="s">
        <v>402</v>
      </c>
      <c r="C278" s="101"/>
      <c r="D278" s="101"/>
      <c r="E278" s="101"/>
      <c r="F278" s="101">
        <f t="shared" ref="F278:O278" si="190">SUM(F274:F277)</f>
        <v>24681.209571104864</v>
      </c>
      <c r="G278" s="101">
        <f t="shared" si="190"/>
        <v>31160.991834402837</v>
      </c>
      <c r="H278" s="101">
        <f t="shared" si="190"/>
        <v>34545.138217100393</v>
      </c>
      <c r="I278" s="101">
        <f t="shared" si="190"/>
        <v>40847.728727680675</v>
      </c>
      <c r="J278" s="101">
        <f t="shared" si="190"/>
        <v>42175.3180695724</v>
      </c>
      <c r="K278" s="101">
        <f t="shared" si="190"/>
        <v>45356.466380681195</v>
      </c>
      <c r="L278" s="101">
        <f t="shared" si="190"/>
        <v>48209.618163367006</v>
      </c>
      <c r="M278" s="101">
        <f t="shared" si="190"/>
        <v>49384.190721880521</v>
      </c>
      <c r="N278" s="101">
        <f t="shared" si="190"/>
        <v>51178.383536097725</v>
      </c>
      <c r="O278" s="101">
        <f t="shared" si="190"/>
        <v>52477.043923353529</v>
      </c>
      <c r="Q278"/>
      <c r="R278"/>
      <c r="S278"/>
      <c r="T278"/>
      <c r="U278"/>
    </row>
    <row r="279" spans="1:21" s="1" customFormat="1" ht="18" customHeight="1" x14ac:dyDescent="0.2">
      <c r="A279"/>
      <c r="B279" s="283" t="s">
        <v>454</v>
      </c>
      <c r="C279" s="284"/>
      <c r="D279" s="284"/>
      <c r="E279" s="284"/>
      <c r="F279" s="285">
        <v>1</v>
      </c>
      <c r="G279" s="285">
        <f>F279+1</f>
        <v>2</v>
      </c>
      <c r="H279" s="285">
        <f t="shared" ref="H279:O279" si="191">G279+1</f>
        <v>3</v>
      </c>
      <c r="I279" s="285">
        <f t="shared" si="191"/>
        <v>4</v>
      </c>
      <c r="J279" s="285">
        <f t="shared" si="191"/>
        <v>5</v>
      </c>
      <c r="K279" s="285">
        <f t="shared" si="191"/>
        <v>6</v>
      </c>
      <c r="L279" s="285">
        <f t="shared" si="191"/>
        <v>7</v>
      </c>
      <c r="M279" s="285">
        <f t="shared" si="191"/>
        <v>8</v>
      </c>
      <c r="N279" s="285">
        <f t="shared" si="191"/>
        <v>9</v>
      </c>
      <c r="O279" s="285">
        <f t="shared" si="191"/>
        <v>10</v>
      </c>
      <c r="Q279"/>
      <c r="R279"/>
      <c r="S279"/>
      <c r="T279"/>
      <c r="U279"/>
    </row>
    <row r="280" spans="1:21" s="1" customFormat="1" ht="18" customHeight="1" x14ac:dyDescent="0.2">
      <c r="A280"/>
      <c r="B280" t="s">
        <v>455</v>
      </c>
      <c r="C280"/>
      <c r="D280" s="263">
        <f>E289</f>
        <v>9.0587073666545434E-2</v>
      </c>
      <c r="E280"/>
      <c r="F280" s="286">
        <f>1/(1+$D$280)^F279</f>
        <v>0.91693733049485682</v>
      </c>
      <c r="G280" s="286">
        <f t="shared" ref="G280:O280" si="192">1/(1+$D$280)^G279</f>
        <v>0.8407740680550343</v>
      </c>
      <c r="H280" s="286">
        <f t="shared" si="192"/>
        <v>0.77093712951168425</v>
      </c>
      <c r="I280" s="286">
        <f t="shared" si="192"/>
        <v>0.70690103351381151</v>
      </c>
      <c r="J280" s="286">
        <f t="shared" si="192"/>
        <v>0.64818394659420964</v>
      </c>
      <c r="K280" s="286">
        <f t="shared" si="192"/>
        <v>0.59434405765971532</v>
      </c>
      <c r="L280" s="286">
        <f t="shared" si="192"/>
        <v>0.54497625362598068</v>
      </c>
      <c r="M280" s="286">
        <f t="shared" si="192"/>
        <v>0.49970907118289476</v>
      </c>
      <c r="N280" s="286">
        <f t="shared" si="192"/>
        <v>0.45820190175450787</v>
      </c>
      <c r="O280" s="286">
        <f t="shared" si="192"/>
        <v>0.42014242862244511</v>
      </c>
      <c r="Q280"/>
      <c r="R280"/>
      <c r="S280"/>
      <c r="T280"/>
      <c r="U280"/>
    </row>
    <row r="281" spans="1:21" s="1" customFormat="1" ht="18" customHeight="1" x14ac:dyDescent="0.2">
      <c r="A281"/>
      <c r="B281"/>
      <c r="C281"/>
      <c r="D281"/>
      <c r="E281"/>
      <c r="F281" s="101">
        <f>F278*F280</f>
        <v>22631.122417513005</v>
      </c>
      <c r="G281" s="101">
        <f t="shared" ref="G281:O281" si="193">G278*G280</f>
        <v>26199.353869240578</v>
      </c>
      <c r="H281" s="101">
        <f t="shared" si="193"/>
        <v>26632.129695675758</v>
      </c>
      <c r="I281" s="101">
        <f t="shared" si="193"/>
        <v>28875.301654289276</v>
      </c>
      <c r="J281" s="101">
        <f t="shared" si="193"/>
        <v>27337.364115201523</v>
      </c>
      <c r="K281" s="101">
        <f t="shared" si="193"/>
        <v>26957.346269800524</v>
      </c>
      <c r="L281" s="101">
        <f t="shared" si="193"/>
        <v>26273.097095410783</v>
      </c>
      <c r="M281" s="101">
        <f t="shared" si="193"/>
        <v>24677.728076749845</v>
      </c>
      <c r="N281" s="101">
        <f t="shared" si="193"/>
        <v>23450.032664961571</v>
      </c>
      <c r="O281" s="101">
        <f t="shared" si="193"/>
        <v>22047.832680884476</v>
      </c>
      <c r="Q281"/>
      <c r="R281"/>
      <c r="S281"/>
      <c r="T281"/>
      <c r="U281"/>
    </row>
    <row r="282" spans="1:21" s="1" customFormat="1" ht="18" customHeight="1" x14ac:dyDescent="0.2">
      <c r="A282"/>
      <c r="B282"/>
      <c r="C282"/>
      <c r="D282"/>
      <c r="E282"/>
      <c r="F282"/>
      <c r="G282"/>
      <c r="H282"/>
      <c r="I282"/>
      <c r="J282"/>
      <c r="K282"/>
      <c r="L282"/>
      <c r="M282"/>
      <c r="N282" s="255" t="s">
        <v>403</v>
      </c>
      <c r="O282" s="101">
        <f>SUM(F281:O281)</f>
        <v>255081.30853972735</v>
      </c>
      <c r="Q282"/>
      <c r="R282"/>
      <c r="S282"/>
      <c r="T282"/>
      <c r="U282"/>
    </row>
    <row r="283" spans="1:21" s="1" customFormat="1" ht="18" customHeight="1" x14ac:dyDescent="0.2">
      <c r="A283"/>
      <c r="B283"/>
      <c r="C283"/>
      <c r="D283"/>
      <c r="E283"/>
      <c r="F283"/>
      <c r="G283"/>
      <c r="H283"/>
      <c r="I283"/>
      <c r="J283"/>
      <c r="K283"/>
      <c r="L283"/>
      <c r="M283"/>
      <c r="N283"/>
      <c r="O283"/>
      <c r="Q283"/>
      <c r="R283"/>
      <c r="S283"/>
      <c r="T283"/>
      <c r="U283"/>
    </row>
    <row r="284" spans="1:21" s="1" customFormat="1" ht="18" customHeight="1" x14ac:dyDescent="0.2">
      <c r="A284"/>
      <c r="B284"/>
      <c r="C284"/>
      <c r="D284"/>
      <c r="E284"/>
      <c r="F284"/>
      <c r="G284"/>
      <c r="H284"/>
      <c r="I284"/>
      <c r="J284"/>
      <c r="K284"/>
      <c r="L284"/>
      <c r="M284"/>
      <c r="N284"/>
      <c r="O284"/>
      <c r="Q284"/>
      <c r="R284"/>
      <c r="S284"/>
      <c r="T284"/>
      <c r="U284"/>
    </row>
    <row r="285" spans="1:21" s="1" customFormat="1" ht="18" customHeight="1" x14ac:dyDescent="0.2">
      <c r="A285"/>
      <c r="B285" s="2" t="s">
        <v>404</v>
      </c>
      <c r="C285" s="3"/>
      <c r="D285" s="3"/>
      <c r="E285" s="3"/>
      <c r="F285" s="3"/>
      <c r="G285" s="3"/>
      <c r="H285" s="3"/>
      <c r="I285" s="3"/>
      <c r="J285" s="3"/>
      <c r="K285" s="3"/>
      <c r="L285" s="3"/>
      <c r="M285" s="3"/>
      <c r="N285" s="3"/>
      <c r="O285" s="3"/>
      <c r="Q285"/>
      <c r="R285"/>
      <c r="S285"/>
      <c r="T285"/>
      <c r="U285"/>
    </row>
    <row r="286" spans="1:21" s="1" customFormat="1" ht="18" customHeight="1" x14ac:dyDescent="0.2">
      <c r="A286"/>
      <c r="B286"/>
      <c r="C286" t="s">
        <v>456</v>
      </c>
      <c r="D286" t="s">
        <v>406</v>
      </c>
      <c r="E286" t="s">
        <v>407</v>
      </c>
      <c r="F286"/>
      <c r="G286" s="5" t="s">
        <v>405</v>
      </c>
      <c r="H286" s="5"/>
      <c r="I286" s="5"/>
      <c r="J286" s="5"/>
      <c r="K286" s="5"/>
      <c r="L286" s="5"/>
      <c r="M286" s="5"/>
      <c r="N286" s="5"/>
      <c r="O286" s="5"/>
      <c r="Q286"/>
      <c r="R286"/>
      <c r="S286"/>
      <c r="T286"/>
      <c r="U286"/>
    </row>
    <row r="287" spans="1:21" s="1" customFormat="1" ht="18" customHeight="1" x14ac:dyDescent="0.2">
      <c r="A287"/>
      <c r="B287" t="s">
        <v>409</v>
      </c>
      <c r="C287" s="101">
        <f>E298</f>
        <v>66461</v>
      </c>
      <c r="D287" s="263">
        <f>C287/$C$289</f>
        <v>5.0176592191648967E-2</v>
      </c>
      <c r="E287" s="263">
        <f>E299</f>
        <v>4.1125392711515017E-2</v>
      </c>
      <c r="F287"/>
      <c r="G287" t="s">
        <v>408</v>
      </c>
      <c r="H287"/>
      <c r="I287"/>
      <c r="J287"/>
      <c r="K287"/>
      <c r="L287"/>
      <c r="M287"/>
      <c r="N287"/>
      <c r="O287" s="279">
        <f>'Comp Analysis Template'!L20</f>
        <v>37.487199357827215</v>
      </c>
      <c r="Q287"/>
      <c r="R287"/>
      <c r="S287"/>
      <c r="T287"/>
      <c r="U287"/>
    </row>
    <row r="288" spans="1:21" s="1" customFormat="1" ht="18" customHeight="1" x14ac:dyDescent="0.2">
      <c r="A288"/>
      <c r="B288" t="s">
        <v>457</v>
      </c>
      <c r="C288" s="101">
        <f>E301</f>
        <v>1258080.9247714733</v>
      </c>
      <c r="D288" s="263">
        <f>C288/$C$289</f>
        <v>0.94982340780835106</v>
      </c>
      <c r="E288" s="263">
        <f>E308</f>
        <v>9.3200000000000005E-2</v>
      </c>
      <c r="F288"/>
      <c r="G288" t="s">
        <v>410</v>
      </c>
      <c r="H288"/>
      <c r="I288"/>
      <c r="J288"/>
      <c r="K288"/>
      <c r="L288"/>
      <c r="M288"/>
      <c r="N288"/>
      <c r="O288" s="210">
        <v>0</v>
      </c>
      <c r="Q288"/>
      <c r="R288"/>
      <c r="S288"/>
      <c r="T288"/>
      <c r="U288"/>
    </row>
    <row r="289" spans="1:21" s="1" customFormat="1" ht="18" customHeight="1" x14ac:dyDescent="0.2">
      <c r="A289"/>
      <c r="B289" t="s">
        <v>412</v>
      </c>
      <c r="C289" s="101">
        <f>SUM(C287:C288)</f>
        <v>1324541.9247714733</v>
      </c>
      <c r="D289" s="263">
        <f>SUM(D287:D288)</f>
        <v>1</v>
      </c>
      <c r="E289" s="263">
        <f>D287*E287+D288*E288</f>
        <v>9.0587073666545434E-2</v>
      </c>
      <c r="F289"/>
      <c r="G289" t="s">
        <v>411</v>
      </c>
      <c r="H289"/>
      <c r="I289"/>
      <c r="J289"/>
      <c r="K289"/>
      <c r="L289"/>
      <c r="M289"/>
      <c r="N289"/>
      <c r="O289" s="278">
        <f>IF(O288&gt;0,O287*(1-O288),O287)</f>
        <v>37.487199357827215</v>
      </c>
      <c r="Q289"/>
      <c r="R289"/>
      <c r="S289"/>
      <c r="T289"/>
      <c r="U289"/>
    </row>
    <row r="290" spans="1:21" s="1" customFormat="1" ht="18" customHeight="1" x14ac:dyDescent="0.2">
      <c r="A290"/>
      <c r="B290" s="5" t="s">
        <v>414</v>
      </c>
      <c r="C290" s="5"/>
      <c r="D290" s="5"/>
      <c r="E290" s="5"/>
      <c r="F290"/>
      <c r="G290" t="s">
        <v>413</v>
      </c>
      <c r="H290"/>
      <c r="I290"/>
      <c r="J290"/>
      <c r="K290"/>
      <c r="L290"/>
      <c r="M290"/>
      <c r="N290"/>
      <c r="O290" s="101">
        <f>O21</f>
        <v>77553.550092729216</v>
      </c>
      <c r="Q290"/>
      <c r="R290"/>
      <c r="S290"/>
      <c r="T290"/>
      <c r="U290"/>
    </row>
    <row r="291" spans="1:21" s="1" customFormat="1" ht="18" customHeight="1" x14ac:dyDescent="0.2">
      <c r="A291"/>
      <c r="B291" t="s">
        <v>416</v>
      </c>
      <c r="C291"/>
      <c r="D291"/>
      <c r="E291" s="101">
        <f>-E25</f>
        <v>3210</v>
      </c>
      <c r="F291"/>
      <c r="G291" t="s">
        <v>415</v>
      </c>
      <c r="H291"/>
      <c r="I291"/>
      <c r="J291"/>
      <c r="K291"/>
      <c r="L291"/>
      <c r="M291"/>
      <c r="N291"/>
      <c r="O291" s="101">
        <f>O290*O289</f>
        <v>2907265.3932333793</v>
      </c>
      <c r="Q291"/>
      <c r="R291"/>
      <c r="S291"/>
      <c r="T291"/>
      <c r="U291"/>
    </row>
    <row r="292" spans="1:21" s="1" customFormat="1" ht="18" customHeight="1" x14ac:dyDescent="0.2">
      <c r="A292"/>
      <c r="B292" t="s">
        <v>418</v>
      </c>
      <c r="C292"/>
      <c r="D292"/>
      <c r="E292" s="101">
        <f>E249</f>
        <v>65136</v>
      </c>
      <c r="F292"/>
      <c r="G292" t="s">
        <v>417</v>
      </c>
      <c r="H292"/>
      <c r="I292"/>
      <c r="J292"/>
      <c r="K292"/>
      <c r="L292"/>
      <c r="M292"/>
      <c r="N292"/>
      <c r="O292" s="101">
        <f>O291/(1+E289)^10</f>
        <v>1221465.5429630599</v>
      </c>
      <c r="Q292"/>
      <c r="R292"/>
      <c r="S292"/>
      <c r="T292"/>
      <c r="U292"/>
    </row>
    <row r="293" spans="1:21" s="1" customFormat="1" ht="18" customHeight="1" x14ac:dyDescent="0.2">
      <c r="A293"/>
      <c r="B293" t="s">
        <v>419</v>
      </c>
      <c r="C293"/>
      <c r="D293"/>
      <c r="E293" s="263">
        <f>E291/E292</f>
        <v>4.9281503316138543E-2</v>
      </c>
      <c r="F293"/>
      <c r="G293" s="5" t="s">
        <v>420</v>
      </c>
      <c r="H293" s="5"/>
      <c r="I293" s="5"/>
      <c r="J293" s="5"/>
      <c r="K293" s="5"/>
      <c r="L293" s="5"/>
      <c r="M293" s="5"/>
      <c r="N293" s="5"/>
      <c r="O293" s="5"/>
      <c r="Q293"/>
      <c r="R293"/>
      <c r="S293"/>
      <c r="T293"/>
      <c r="U293"/>
    </row>
    <row r="294" spans="1:21" s="1" customFormat="1" ht="18" customHeight="1" x14ac:dyDescent="0.2">
      <c r="A294"/>
      <c r="B294" t="s">
        <v>421</v>
      </c>
      <c r="C294"/>
      <c r="D294"/>
      <c r="E294" s="263">
        <f>E293*(1-$F$47)</f>
        <v>4.115005526897568E-2</v>
      </c>
      <c r="F294"/>
      <c r="G294" t="s">
        <v>422</v>
      </c>
      <c r="H294"/>
      <c r="I294"/>
      <c r="J294"/>
      <c r="K294"/>
      <c r="L294"/>
      <c r="M294"/>
      <c r="N294"/>
      <c r="O294" s="101">
        <f>O278</f>
        <v>52477.043923353529</v>
      </c>
      <c r="Q294"/>
      <c r="R294"/>
      <c r="S294"/>
      <c r="T294"/>
      <c r="U294"/>
    </row>
    <row r="295" spans="1:21" s="1" customFormat="1" ht="18" customHeight="1" x14ac:dyDescent="0.2">
      <c r="A295"/>
      <c r="B295" t="s">
        <v>423</v>
      </c>
      <c r="C295"/>
      <c r="D295"/>
      <c r="E295" s="101">
        <f>E181</f>
        <v>1325</v>
      </c>
      <c r="F295"/>
      <c r="G295" t="s">
        <v>424</v>
      </c>
      <c r="H295"/>
      <c r="I295"/>
      <c r="J295"/>
      <c r="K295"/>
      <c r="L295"/>
      <c r="M295"/>
      <c r="N295"/>
      <c r="O295" s="265">
        <v>0.03</v>
      </c>
      <c r="Q295"/>
      <c r="R295"/>
      <c r="S295"/>
      <c r="T295"/>
      <c r="U295"/>
    </row>
    <row r="296" spans="1:21" s="1" customFormat="1" ht="18" customHeight="1" x14ac:dyDescent="0.2">
      <c r="A296"/>
      <c r="B296" t="s">
        <v>242</v>
      </c>
      <c r="C296"/>
      <c r="D296"/>
      <c r="E296" s="263">
        <f>E186</f>
        <v>4.7800000000000002E-2</v>
      </c>
      <c r="F296"/>
      <c r="G296" t="s">
        <v>460</v>
      </c>
      <c r="H296"/>
      <c r="I296"/>
      <c r="J296"/>
      <c r="K296"/>
      <c r="L296"/>
      <c r="M296"/>
      <c r="N296"/>
      <c r="O296" s="101">
        <f>O294*(1+O295)/E289-O295</f>
        <v>596678.42591324972</v>
      </c>
      <c r="Q296"/>
      <c r="R296"/>
      <c r="S296"/>
      <c r="T296"/>
      <c r="U296"/>
    </row>
    <row r="297" spans="1:21" s="1" customFormat="1" ht="18" customHeight="1" x14ac:dyDescent="0.2">
      <c r="A297"/>
      <c r="B297" t="s">
        <v>425</v>
      </c>
      <c r="C297"/>
      <c r="D297"/>
      <c r="E297" s="263">
        <f>E296*(1-$F$47)</f>
        <v>3.9912999999999997E-2</v>
      </c>
      <c r="F297"/>
      <c r="G297" t="s">
        <v>417</v>
      </c>
      <c r="H297"/>
      <c r="I297"/>
      <c r="J297"/>
      <c r="K297"/>
      <c r="L297"/>
      <c r="M297"/>
      <c r="N297"/>
      <c r="O297" s="101">
        <f>O296*O280</f>
        <v>250689.92296981043</v>
      </c>
      <c r="Q297"/>
      <c r="R297"/>
      <c r="S297"/>
      <c r="T297"/>
      <c r="U297"/>
    </row>
    <row r="298" spans="1:21" s="1" customFormat="1" ht="18" customHeight="1" x14ac:dyDescent="0.2">
      <c r="A298"/>
      <c r="B298" t="s">
        <v>426</v>
      </c>
      <c r="C298"/>
      <c r="D298"/>
      <c r="E298" s="101">
        <f>E292+E295</f>
        <v>66461</v>
      </c>
      <c r="F298"/>
      <c r="G298" s="5" t="s">
        <v>428</v>
      </c>
      <c r="H298" s="5"/>
      <c r="I298" s="5"/>
      <c r="J298" s="5"/>
      <c r="K298" s="5"/>
      <c r="L298" s="5"/>
      <c r="M298" s="5"/>
      <c r="N298" s="5"/>
      <c r="O298" s="5"/>
      <c r="Q298"/>
      <c r="R298"/>
      <c r="S298"/>
      <c r="T298"/>
      <c r="U298"/>
    </row>
    <row r="299" spans="1:21" s="1" customFormat="1" ht="18" customHeight="1" x14ac:dyDescent="0.2">
      <c r="A299"/>
      <c r="B299" t="s">
        <v>427</v>
      </c>
      <c r="C299"/>
      <c r="D299"/>
      <c r="E299" s="263">
        <f>((E294*(E292/E298)+E297*(E295/E298)))</f>
        <v>4.1125392711515017E-2</v>
      </c>
      <c r="F299"/>
      <c r="G299" t="s">
        <v>468</v>
      </c>
      <c r="H299"/>
      <c r="I299"/>
      <c r="J299"/>
      <c r="K299"/>
      <c r="L299"/>
      <c r="M299"/>
      <c r="N299"/>
      <c r="O299" s="101">
        <f>E21</f>
        <v>34926</v>
      </c>
      <c r="Q299"/>
      <c r="R299"/>
      <c r="S299"/>
      <c r="T299"/>
      <c r="U299"/>
    </row>
    <row r="300" spans="1:21" s="1" customFormat="1" ht="18" customHeight="1" x14ac:dyDescent="0.2">
      <c r="A300"/>
      <c r="B300" s="5" t="s">
        <v>429</v>
      </c>
      <c r="C300" s="5"/>
      <c r="D300" s="5"/>
      <c r="E300" s="5"/>
      <c r="F300"/>
      <c r="G300" t="s">
        <v>430</v>
      </c>
      <c r="H300"/>
      <c r="I300"/>
      <c r="J300"/>
      <c r="K300"/>
      <c r="L300"/>
      <c r="M300"/>
      <c r="N300"/>
      <c r="O300" s="292">
        <f>O289</f>
        <v>37.487199357827215</v>
      </c>
      <c r="Q300"/>
      <c r="R300"/>
      <c r="S300"/>
      <c r="T300"/>
      <c r="U300"/>
    </row>
    <row r="301" spans="1:21" s="1" customFormat="1" ht="18" customHeight="1" x14ac:dyDescent="0.2">
      <c r="A301"/>
      <c r="B301" t="s">
        <v>428</v>
      </c>
      <c r="C301"/>
      <c r="D301"/>
      <c r="E301" s="101">
        <f>O303</f>
        <v>1258080.9247714733</v>
      </c>
      <c r="F301"/>
      <c r="G301" t="s">
        <v>431</v>
      </c>
      <c r="H301"/>
      <c r="I301"/>
      <c r="J301"/>
      <c r="K301"/>
      <c r="L301"/>
      <c r="M301"/>
      <c r="N301"/>
      <c r="O301" s="120">
        <f>O299*O300</f>
        <v>1309277.9247714733</v>
      </c>
      <c r="Q301"/>
      <c r="R301"/>
      <c r="S301"/>
      <c r="T301"/>
      <c r="U301"/>
    </row>
    <row r="302" spans="1:21" s="1" customFormat="1" ht="18" customHeight="1" x14ac:dyDescent="0.2">
      <c r="A302"/>
      <c r="B302" t="s">
        <v>432</v>
      </c>
      <c r="C302"/>
      <c r="D302"/>
      <c r="E302" s="265">
        <f>'Ke Related Data'!D31</f>
        <v>3.5000000000000003E-2</v>
      </c>
      <c r="F302"/>
      <c r="G302" t="s">
        <v>461</v>
      </c>
      <c r="H302"/>
      <c r="I302"/>
      <c r="J302"/>
      <c r="K302"/>
      <c r="L302"/>
      <c r="M302"/>
      <c r="N302"/>
      <c r="O302" s="120">
        <f>-(E292-E131)</f>
        <v>-51197</v>
      </c>
      <c r="Q302"/>
      <c r="R302"/>
      <c r="S302"/>
      <c r="T302"/>
      <c r="U302"/>
    </row>
    <row r="303" spans="1:21" s="1" customFormat="1" ht="18" customHeight="1" x14ac:dyDescent="0.2">
      <c r="A303"/>
      <c r="B303" t="s">
        <v>458</v>
      </c>
      <c r="C303"/>
      <c r="D303"/>
      <c r="E303" s="265">
        <f>E302+'Ke Related Data'!E31</f>
        <v>8.5000000000000006E-2</v>
      </c>
      <c r="F303"/>
      <c r="G303" t="s">
        <v>433</v>
      </c>
      <c r="H303"/>
      <c r="I303"/>
      <c r="J303"/>
      <c r="K303"/>
      <c r="L303"/>
      <c r="M303"/>
      <c r="N303"/>
      <c r="O303" s="120">
        <f>SUM(O301:O302)</f>
        <v>1258080.9247714733</v>
      </c>
      <c r="Q303"/>
      <c r="R303"/>
      <c r="S303"/>
      <c r="T303"/>
      <c r="U303"/>
    </row>
    <row r="304" spans="1:21" s="1" customFormat="1" ht="18" customHeight="1" x14ac:dyDescent="0.2">
      <c r="A304"/>
      <c r="B304" t="s">
        <v>434</v>
      </c>
      <c r="C304"/>
      <c r="D304"/>
      <c r="E304" s="291">
        <f>E303-E302</f>
        <v>0.05</v>
      </c>
      <c r="F304"/>
      <c r="G304"/>
      <c r="H304"/>
      <c r="I304"/>
      <c r="J304"/>
      <c r="K304"/>
      <c r="L304"/>
      <c r="M304"/>
      <c r="N304"/>
      <c r="O304"/>
      <c r="Q304"/>
      <c r="R304"/>
      <c r="S304"/>
      <c r="T304"/>
      <c r="U304"/>
    </row>
    <row r="305" spans="1:21" s="1" customFormat="1" ht="18" customHeight="1" x14ac:dyDescent="0.2">
      <c r="A305"/>
      <c r="B305" t="s">
        <v>435</v>
      </c>
      <c r="C305"/>
      <c r="D305"/>
      <c r="E305" s="281">
        <v>1.22</v>
      </c>
      <c r="F305"/>
      <c r="G305"/>
      <c r="H305"/>
      <c r="I305"/>
      <c r="J305"/>
      <c r="K305"/>
      <c r="L305"/>
      <c r="M305"/>
      <c r="N305"/>
      <c r="O305"/>
      <c r="Q305"/>
      <c r="R305"/>
      <c r="S305"/>
      <c r="T305"/>
      <c r="U305"/>
    </row>
    <row r="306" spans="1:21" s="1" customFormat="1" ht="18" customHeight="1" x14ac:dyDescent="0.2">
      <c r="A306"/>
      <c r="B306" t="s">
        <v>436</v>
      </c>
      <c r="C306"/>
      <c r="D306"/>
      <c r="E306" s="113">
        <f>E302+(E305*E304)</f>
        <v>9.6000000000000002E-2</v>
      </c>
      <c r="F306"/>
      <c r="G306"/>
      <c r="H306"/>
      <c r="I306"/>
      <c r="J306"/>
      <c r="K306"/>
      <c r="L306"/>
      <c r="M306"/>
      <c r="N306"/>
      <c r="O306"/>
      <c r="Q306"/>
      <c r="R306"/>
      <c r="S306"/>
      <c r="T306"/>
      <c r="U306"/>
    </row>
    <row r="307" spans="1:21" s="1" customFormat="1" ht="18" customHeight="1" x14ac:dyDescent="0.2">
      <c r="A307"/>
      <c r="B307" t="s">
        <v>384</v>
      </c>
      <c r="C307"/>
      <c r="D307"/>
      <c r="E307" s="293">
        <f>'Ke Related Data'!E9</f>
        <v>-2.8E-3</v>
      </c>
      <c r="F307"/>
      <c r="G307"/>
      <c r="H307"/>
      <c r="I307"/>
      <c r="J307"/>
      <c r="K307"/>
      <c r="L307"/>
      <c r="M307"/>
      <c r="N307"/>
      <c r="O307"/>
      <c r="Q307"/>
      <c r="R307"/>
      <c r="S307"/>
      <c r="T307"/>
      <c r="U307"/>
    </row>
    <row r="308" spans="1:21" s="1" customFormat="1" ht="18" customHeight="1" x14ac:dyDescent="0.2">
      <c r="A308"/>
      <c r="B308" s="276" t="s">
        <v>437</v>
      </c>
      <c r="C308" s="276"/>
      <c r="D308" s="276"/>
      <c r="E308" s="282">
        <f>E306+E307</f>
        <v>9.3200000000000005E-2</v>
      </c>
      <c r="F308"/>
      <c r="G308"/>
      <c r="H308"/>
      <c r="I308"/>
      <c r="J308"/>
      <c r="K308"/>
      <c r="L308"/>
      <c r="M308"/>
      <c r="N308"/>
      <c r="O308"/>
      <c r="Q308"/>
      <c r="R308"/>
      <c r="S308"/>
      <c r="T308"/>
      <c r="U308"/>
    </row>
    <row r="309" spans="1:21" s="1" customFormat="1" ht="18" customHeight="1" x14ac:dyDescent="0.2">
      <c r="A309"/>
      <c r="B309"/>
      <c r="C309"/>
      <c r="D309"/>
      <c r="E309"/>
      <c r="F309"/>
      <c r="G309"/>
      <c r="H309"/>
      <c r="I309"/>
      <c r="J309"/>
      <c r="K309"/>
      <c r="L309"/>
      <c r="M309"/>
      <c r="N309"/>
      <c r="O309"/>
      <c r="Q309"/>
      <c r="R309"/>
      <c r="S309"/>
      <c r="T309"/>
      <c r="U309"/>
    </row>
    <row r="310" spans="1:21" s="1" customFormat="1" ht="18" customHeight="1" x14ac:dyDescent="0.2">
      <c r="A310"/>
      <c r="B310" s="5" t="s">
        <v>311</v>
      </c>
      <c r="C310" s="5"/>
      <c r="D310" s="5"/>
      <c r="E310" s="5"/>
      <c r="F310" s="5"/>
      <c r="G310" s="5"/>
      <c r="H310" s="5"/>
      <c r="I310" s="5"/>
      <c r="J310" s="5"/>
      <c r="K310" s="5"/>
      <c r="L310" s="5"/>
      <c r="M310" s="5"/>
      <c r="N310" s="5" t="s">
        <v>471</v>
      </c>
      <c r="O310" s="5" t="s">
        <v>472</v>
      </c>
      <c r="Q310"/>
      <c r="R310"/>
      <c r="S310"/>
      <c r="T310"/>
      <c r="U310"/>
    </row>
    <row r="311" spans="1:21" s="1" customFormat="1" ht="18" customHeight="1" x14ac:dyDescent="0.2">
      <c r="A311"/>
      <c r="B311"/>
      <c r="C311"/>
      <c r="D311" t="s">
        <v>438</v>
      </c>
      <c r="E311" t="s">
        <v>439</v>
      </c>
      <c r="F311"/>
      <c r="G311" t="s">
        <v>474</v>
      </c>
      <c r="H311"/>
      <c r="I311"/>
      <c r="J311"/>
      <c r="K311"/>
      <c r="L311"/>
      <c r="M311"/>
      <c r="N311" s="289">
        <f>'Comp Analysis Template'!J17</f>
        <v>34.318869246036314</v>
      </c>
      <c r="O311" s="289">
        <f>'Comp Analysis Template'!L17</f>
        <v>53.75264927925874</v>
      </c>
      <c r="Q311"/>
      <c r="R311"/>
      <c r="S311"/>
      <c r="T311"/>
      <c r="U311"/>
    </row>
    <row r="312" spans="1:21" s="1" customFormat="1" ht="18" customHeight="1" x14ac:dyDescent="0.2">
      <c r="A312"/>
      <c r="B312" t="s">
        <v>440</v>
      </c>
      <c r="C312"/>
      <c r="D312" s="101">
        <f>$O$282</f>
        <v>255081.30853972735</v>
      </c>
      <c r="E312" s="101">
        <f>$O$282</f>
        <v>255081.30853972735</v>
      </c>
      <c r="F312"/>
      <c r="G312" t="s">
        <v>473</v>
      </c>
      <c r="H312"/>
      <c r="I312"/>
      <c r="J312"/>
      <c r="K312"/>
      <c r="L312"/>
      <c r="M312"/>
      <c r="N312" s="289">
        <f>'Comp Analysis Template'!J18</f>
        <v>3.4608707433836146</v>
      </c>
      <c r="O312" s="289">
        <f>'Comp Analysis Template'!L18</f>
        <v>10.950357244927121</v>
      </c>
      <c r="Q312"/>
      <c r="R312"/>
      <c r="S312"/>
      <c r="T312"/>
      <c r="U312"/>
    </row>
    <row r="313" spans="1:21" s="1" customFormat="1" ht="18" customHeight="1" x14ac:dyDescent="0.35">
      <c r="A313"/>
      <c r="B313" t="s">
        <v>441</v>
      </c>
      <c r="C313"/>
      <c r="D313" s="102">
        <f>O292</f>
        <v>1221465.5429630599</v>
      </c>
      <c r="E313" s="102">
        <f>O297</f>
        <v>250689.92296981043</v>
      </c>
      <c r="F313"/>
      <c r="G313" t="s">
        <v>475</v>
      </c>
      <c r="H313"/>
      <c r="I313"/>
      <c r="J313"/>
      <c r="K313"/>
      <c r="L313"/>
      <c r="M313"/>
      <c r="N313" s="289">
        <f>'Comp Analysis Template'!J19</f>
        <v>9.2996824388694819</v>
      </c>
      <c r="O313" s="289">
        <f>'Comp Analysis Template'!L19</f>
        <v>47.75859154929578</v>
      </c>
      <c r="Q313"/>
      <c r="R313"/>
      <c r="S313"/>
      <c r="T313"/>
      <c r="U313"/>
    </row>
    <row r="314" spans="1:21" s="1" customFormat="1" ht="18" customHeight="1" x14ac:dyDescent="0.2">
      <c r="A314"/>
      <c r="B314" t="s">
        <v>442</v>
      </c>
      <c r="C314"/>
      <c r="D314" s="101">
        <f>SUM(D312:D313)</f>
        <v>1476546.8515027873</v>
      </c>
      <c r="E314" s="101">
        <f>SUM(E312:E313)</f>
        <v>505771.23150953779</v>
      </c>
      <c r="F314"/>
      <c r="G314" t="s">
        <v>462</v>
      </c>
      <c r="H314"/>
      <c r="I314"/>
      <c r="J314"/>
      <c r="K314"/>
      <c r="L314"/>
      <c r="M314"/>
      <c r="N314" s="289">
        <f>AVERAGE(N311:N313)</f>
        <v>15.693140809429805</v>
      </c>
      <c r="O314" s="289">
        <f>AVERAGE(O311:O313)</f>
        <v>37.487199357827215</v>
      </c>
      <c r="Q314"/>
      <c r="R314"/>
      <c r="S314"/>
      <c r="T314"/>
      <c r="U314"/>
    </row>
    <row r="315" spans="1:21" s="1" customFormat="1" ht="18" customHeight="1" x14ac:dyDescent="0.35">
      <c r="A315"/>
      <c r="B315" t="s">
        <v>443</v>
      </c>
      <c r="C315"/>
      <c r="D315" s="102">
        <f>$E$298-$E$131</f>
        <v>52522</v>
      </c>
      <c r="E315" s="102">
        <f>$E$298-$E$131</f>
        <v>52522</v>
      </c>
      <c r="F315"/>
      <c r="G315" t="s">
        <v>463</v>
      </c>
      <c r="H315"/>
      <c r="I315"/>
      <c r="J315"/>
      <c r="K315"/>
      <c r="L315"/>
      <c r="M315"/>
      <c r="N315" s="221">
        <f>$O$288</f>
        <v>0</v>
      </c>
      <c r="O315" s="221">
        <f>$O$288</f>
        <v>0</v>
      </c>
      <c r="Q315"/>
      <c r="R315"/>
      <c r="S315"/>
      <c r="T315"/>
      <c r="U315"/>
    </row>
    <row r="316" spans="1:21" s="1" customFormat="1" ht="18" customHeight="1" x14ac:dyDescent="0.2">
      <c r="A316"/>
      <c r="B316" t="s">
        <v>433</v>
      </c>
      <c r="C316"/>
      <c r="D316" s="101">
        <f>SUM(D314:D315)</f>
        <v>1529068.8515027873</v>
      </c>
      <c r="E316" s="101">
        <f>SUM(E314:E315)</f>
        <v>558293.23150953779</v>
      </c>
      <c r="F316"/>
      <c r="G316" t="s">
        <v>411</v>
      </c>
      <c r="H316"/>
      <c r="I316"/>
      <c r="J316"/>
      <c r="K316"/>
      <c r="L316"/>
      <c r="M316"/>
      <c r="N316" s="278">
        <f>IF(N315&gt;0,N314*(1-N315),N314)</f>
        <v>15.693140809429805</v>
      </c>
      <c r="O316" s="278">
        <f>IF(O315&gt;0,O314*(1-O315),O314)</f>
        <v>37.487199357827215</v>
      </c>
      <c r="Q316"/>
      <c r="R316"/>
      <c r="S316"/>
      <c r="T316"/>
      <c r="U316"/>
    </row>
    <row r="317" spans="1:21" s="1" customFormat="1" ht="18" customHeight="1" x14ac:dyDescent="0.2">
      <c r="A317"/>
      <c r="B317" t="s">
        <v>444</v>
      </c>
      <c r="C317"/>
      <c r="D317" s="314">
        <f>D316/D319</f>
        <v>322.50169813548609</v>
      </c>
      <c r="E317" s="288">
        <f>E316/E319</f>
        <v>117.75173828334688</v>
      </c>
      <c r="F317"/>
      <c r="G317" t="s">
        <v>467</v>
      </c>
      <c r="H317"/>
      <c r="I317"/>
      <c r="J317"/>
      <c r="K317"/>
      <c r="L317"/>
      <c r="M317"/>
      <c r="N317" s="101">
        <f>E14</f>
        <v>63887</v>
      </c>
      <c r="O317" s="101">
        <f>E21</f>
        <v>34926</v>
      </c>
      <c r="Q317"/>
      <c r="R317"/>
      <c r="S317"/>
      <c r="T317"/>
      <c r="U317"/>
    </row>
    <row r="318" spans="1:21" s="1" customFormat="1" ht="18" customHeight="1" x14ac:dyDescent="0.2">
      <c r="A318"/>
      <c r="B318" s="1" t="s">
        <v>479</v>
      </c>
      <c r="D318" s="313">
        <f>'Comp Analysis Template'!$AA$13</f>
        <v>332.5</v>
      </c>
      <c r="E318" s="313">
        <f>'Comp Analysis Template'!$AA$13</f>
        <v>332.5</v>
      </c>
      <c r="F318"/>
      <c r="G318" t="s">
        <v>464</v>
      </c>
      <c r="H318"/>
      <c r="I318"/>
      <c r="J318"/>
      <c r="K318"/>
      <c r="L318"/>
      <c r="M318"/>
      <c r="N318" s="101">
        <f>N317*N316</f>
        <v>1002587.6868920419</v>
      </c>
      <c r="O318" s="101">
        <f>O317*O316</f>
        <v>1309277.9247714733</v>
      </c>
      <c r="Q318"/>
      <c r="R318"/>
      <c r="S318"/>
      <c r="T318"/>
      <c r="U318"/>
    </row>
    <row r="319" spans="1:21" s="1" customFormat="1" ht="18" customHeight="1" x14ac:dyDescent="0.35">
      <c r="A319"/>
      <c r="B319" t="s">
        <v>459</v>
      </c>
      <c r="C319"/>
      <c r="D319" s="114">
        <v>4741.2737989999996</v>
      </c>
      <c r="E319" s="114">
        <v>4741.2737989999996</v>
      </c>
      <c r="F319"/>
      <c r="G319" t="s">
        <v>461</v>
      </c>
      <c r="H319"/>
      <c r="I319"/>
      <c r="J319"/>
      <c r="K319"/>
      <c r="L319"/>
      <c r="M319"/>
      <c r="N319" s="290">
        <f>$O$302</f>
        <v>-51197</v>
      </c>
      <c r="O319" s="290">
        <f>$O$302</f>
        <v>-51197</v>
      </c>
      <c r="Q319"/>
      <c r="R319"/>
      <c r="S319"/>
      <c r="T319"/>
      <c r="U319"/>
    </row>
    <row r="320" spans="1:21" s="1" customFormat="1" ht="18" customHeight="1" x14ac:dyDescent="0.2">
      <c r="A320"/>
      <c r="B320"/>
      <c r="C320"/>
      <c r="D320"/>
      <c r="E320"/>
      <c r="F320"/>
      <c r="G320" t="s">
        <v>465</v>
      </c>
      <c r="H320"/>
      <c r="I320"/>
      <c r="J320"/>
      <c r="K320"/>
      <c r="L320"/>
      <c r="M320"/>
      <c r="N320" s="101">
        <f>SUM(N318:N319)</f>
        <v>951390.68689204194</v>
      </c>
      <c r="O320" s="101">
        <f>SUM(O318:O319)</f>
        <v>1258080.9247714733</v>
      </c>
      <c r="Q320"/>
      <c r="R320"/>
      <c r="S320"/>
      <c r="T320"/>
      <c r="U320"/>
    </row>
    <row r="321" spans="1:21" s="1" customFormat="1" ht="18" customHeight="1" x14ac:dyDescent="0.2">
      <c r="A321"/>
      <c r="B321"/>
      <c r="C321"/>
      <c r="D321"/>
      <c r="E321"/>
      <c r="F321"/>
      <c r="G321" t="s">
        <v>466</v>
      </c>
      <c r="H321"/>
      <c r="I321"/>
      <c r="J321"/>
      <c r="K321"/>
      <c r="L321"/>
      <c r="M321"/>
      <c r="N321" s="288">
        <f>N320/N322</f>
        <v>200.66141025070169</v>
      </c>
      <c r="O321" s="288">
        <f>O320/O322</f>
        <v>265.34660897179572</v>
      </c>
      <c r="Q321"/>
      <c r="R321"/>
      <c r="S321"/>
      <c r="T321"/>
      <c r="U321"/>
    </row>
    <row r="322" spans="1:21" s="1" customFormat="1" ht="18" customHeight="1" x14ac:dyDescent="0.2">
      <c r="A322"/>
      <c r="B322"/>
      <c r="C322"/>
      <c r="D322"/>
      <c r="E322"/>
      <c r="F322"/>
      <c r="G322" s="100" t="s">
        <v>459</v>
      </c>
      <c r="H322"/>
      <c r="I322"/>
      <c r="J322"/>
      <c r="K322"/>
      <c r="L322"/>
      <c r="M322"/>
      <c r="N322" s="114">
        <f>$D$319</f>
        <v>4741.2737989999996</v>
      </c>
      <c r="O322" s="114">
        <f>$D$319</f>
        <v>4741.2737989999996</v>
      </c>
      <c r="Q322"/>
      <c r="R322"/>
      <c r="S322"/>
      <c r="T322"/>
      <c r="U322"/>
    </row>
    <row r="323" spans="1:21" s="1" customFormat="1" ht="18" customHeight="1" x14ac:dyDescent="0.2">
      <c r="A323"/>
      <c r="B323"/>
      <c r="C323"/>
      <c r="D323"/>
      <c r="E323"/>
      <c r="F323"/>
      <c r="G323" s="100"/>
      <c r="H323"/>
      <c r="I323"/>
      <c r="J323"/>
      <c r="K323"/>
      <c r="L323"/>
      <c r="M323"/>
      <c r="N323" s="114"/>
      <c r="O323" s="114"/>
      <c r="Q323"/>
      <c r="R323"/>
      <c r="S323"/>
      <c r="T323"/>
      <c r="U323"/>
    </row>
    <row r="324" spans="1:21" s="1" customFormat="1" ht="18" customHeight="1" x14ac:dyDescent="0.2">
      <c r="A324"/>
      <c r="B324"/>
      <c r="C324"/>
      <c r="D324"/>
      <c r="E324"/>
      <c r="F324"/>
      <c r="G324"/>
      <c r="H324"/>
      <c r="I324"/>
      <c r="J324"/>
      <c r="K324"/>
      <c r="L324"/>
      <c r="M324"/>
      <c r="N324"/>
      <c r="O324"/>
      <c r="Q324"/>
      <c r="R324"/>
      <c r="S324"/>
      <c r="T324"/>
      <c r="U324"/>
    </row>
    <row r="325" spans="1:21" s="1" customFormat="1" ht="18" customHeight="1" x14ac:dyDescent="0.2">
      <c r="A325"/>
      <c r="B325" s="2" t="s">
        <v>312</v>
      </c>
      <c r="C325" s="3" t="str">
        <f t="shared" ref="C325:O325" si="194">C5</f>
        <v>2023A</v>
      </c>
      <c r="D325" s="3" t="str">
        <f t="shared" si="194"/>
        <v>2024A</v>
      </c>
      <c r="E325" s="3" t="str">
        <f t="shared" si="194"/>
        <v>2025A</v>
      </c>
      <c r="F325" s="3" t="str">
        <f t="shared" si="194"/>
        <v>2026P</v>
      </c>
      <c r="G325" s="3" t="str">
        <f t="shared" si="194"/>
        <v>2027P</v>
      </c>
      <c r="H325" s="3" t="str">
        <f t="shared" si="194"/>
        <v>2028P</v>
      </c>
      <c r="I325" s="3" t="str">
        <f t="shared" si="194"/>
        <v xml:space="preserve">2029P </v>
      </c>
      <c r="J325" s="3" t="str">
        <f t="shared" si="194"/>
        <v>2030P</v>
      </c>
      <c r="K325" s="3" t="str">
        <f t="shared" si="194"/>
        <v>2031P</v>
      </c>
      <c r="L325" s="3" t="str">
        <f t="shared" si="194"/>
        <v>2032P</v>
      </c>
      <c r="M325" s="3" t="str">
        <f t="shared" si="194"/>
        <v xml:space="preserve">2033P </v>
      </c>
      <c r="N325" s="3" t="str">
        <f t="shared" si="194"/>
        <v>2034P</v>
      </c>
      <c r="O325" s="3" t="str">
        <f t="shared" si="194"/>
        <v>2035P</v>
      </c>
      <c r="Q325"/>
      <c r="R325"/>
      <c r="S325"/>
      <c r="T325"/>
      <c r="U325"/>
    </row>
    <row r="326" spans="1:21" s="1" customFormat="1" ht="18" customHeight="1" x14ac:dyDescent="0.2">
      <c r="A326"/>
      <c r="B326" t="s">
        <v>313</v>
      </c>
      <c r="C326" s="253">
        <f t="shared" ref="C326:O326" si="195">C21/C14</f>
        <v>0.56645914179625334</v>
      </c>
      <c r="D326" s="253">
        <f t="shared" si="195"/>
        <v>0.48978167293597547</v>
      </c>
      <c r="E326" s="253">
        <f t="shared" si="195"/>
        <v>0.54668398891793324</v>
      </c>
      <c r="F326" s="253">
        <f t="shared" si="195"/>
        <v>0.43840666281132878</v>
      </c>
      <c r="G326" s="253">
        <f t="shared" si="195"/>
        <v>0.45024044014420755</v>
      </c>
      <c r="H326" s="253">
        <f t="shared" si="195"/>
        <v>0.45694686166589882</v>
      </c>
      <c r="I326" s="253">
        <f t="shared" si="195"/>
        <v>0.4771665767429214</v>
      </c>
      <c r="J326" s="253">
        <f t="shared" si="195"/>
        <v>0.47510979472785458</v>
      </c>
      <c r="K326" s="253">
        <f t="shared" si="195"/>
        <v>0.47806296132085419</v>
      </c>
      <c r="L326" s="253">
        <f t="shared" si="195"/>
        <v>0.48096175979579037</v>
      </c>
      <c r="M326" s="253">
        <f t="shared" si="195"/>
        <v>0.48355641463698573</v>
      </c>
      <c r="N326" s="253">
        <f t="shared" si="195"/>
        <v>0.48099187007807676</v>
      </c>
      <c r="O326" s="253">
        <f t="shared" si="195"/>
        <v>0.47814579391624185</v>
      </c>
      <c r="Q326"/>
      <c r="R326"/>
      <c r="S326"/>
      <c r="T326"/>
      <c r="U326"/>
    </row>
    <row r="327" spans="1:21" s="1" customFormat="1" ht="18" customHeight="1" x14ac:dyDescent="0.2">
      <c r="A327"/>
      <c r="B327" t="s">
        <v>314</v>
      </c>
      <c r="C327" s="263">
        <f t="shared" ref="C327:O327" si="196">C24*(1-C47)/(C98+C100)</f>
        <v>0.24279385417351784</v>
      </c>
      <c r="D327" s="263">
        <f t="shared" si="196"/>
        <v>7.013901839484081E-2</v>
      </c>
      <c r="E327" s="263">
        <f t="shared" si="196"/>
        <v>0.18171231563230764</v>
      </c>
      <c r="F327" s="263">
        <f t="shared" si="196"/>
        <v>0.13977075581475984</v>
      </c>
      <c r="G327" s="263">
        <f t="shared" si="196"/>
        <v>0.17910137858686653</v>
      </c>
      <c r="H327" s="263">
        <f t="shared" si="196"/>
        <v>0.19836196101526191</v>
      </c>
      <c r="I327" s="263">
        <f t="shared" si="196"/>
        <v>0.22670225637122296</v>
      </c>
      <c r="J327" s="263">
        <f t="shared" si="196"/>
        <v>0.22753489968383847</v>
      </c>
      <c r="K327" s="263">
        <f t="shared" si="196"/>
        <v>0.22703406145976937</v>
      </c>
      <c r="L327" s="263">
        <f t="shared" si="196"/>
        <v>0.2238503563716861</v>
      </c>
      <c r="M327" s="263">
        <f t="shared" si="196"/>
        <v>0.21626178640433247</v>
      </c>
      <c r="N327" s="263">
        <f t="shared" si="196"/>
        <v>0.20267406769680879</v>
      </c>
      <c r="O327" s="263">
        <f t="shared" si="196"/>
        <v>0.18832447455578175</v>
      </c>
      <c r="Q327"/>
      <c r="R327"/>
      <c r="S327"/>
      <c r="T327"/>
      <c r="U327"/>
    </row>
    <row r="328" spans="1:21" s="1" customFormat="1" ht="18" customHeight="1" x14ac:dyDescent="0.2">
      <c r="A328"/>
      <c r="B328" t="s">
        <v>315</v>
      </c>
      <c r="C328" s="263">
        <f>C32/C100</f>
        <v>0.58704352176088048</v>
      </c>
      <c r="D328" s="263">
        <f t="shared" ref="D328:O328" si="197">D32/((C100+D100)/2)</f>
        <v>0.12861911722994349</v>
      </c>
      <c r="E328" s="263">
        <f t="shared" si="197"/>
        <v>0.31047861985634689</v>
      </c>
      <c r="F328" s="263">
        <f t="shared" si="197"/>
        <v>0.22159310214898037</v>
      </c>
      <c r="G328" s="263">
        <f t="shared" si="197"/>
        <v>0.26648947333948703</v>
      </c>
      <c r="H328" s="263">
        <f t="shared" si="197"/>
        <v>0.28498456982973291</v>
      </c>
      <c r="I328" s="263">
        <f t="shared" si="197"/>
        <v>0.29962059697689708</v>
      </c>
      <c r="J328" s="263">
        <f t="shared" si="197"/>
        <v>0.2894145868941036</v>
      </c>
      <c r="K328" s="263">
        <f t="shared" si="197"/>
        <v>0.27872462099374645</v>
      </c>
      <c r="L328" s="263">
        <f t="shared" si="197"/>
        <v>0.26956714038523522</v>
      </c>
      <c r="M328" s="263">
        <f t="shared" si="197"/>
        <v>0.25614355112491022</v>
      </c>
      <c r="N328" s="263">
        <f t="shared" si="197"/>
        <v>0.23637639110257466</v>
      </c>
      <c r="O328" s="263">
        <f t="shared" si="197"/>
        <v>0.21868349079123053</v>
      </c>
      <c r="Q328"/>
      <c r="R328"/>
      <c r="S328"/>
      <c r="T328"/>
      <c r="U328"/>
    </row>
    <row r="329" spans="1:21" s="1" customFormat="1" ht="18" customHeight="1" x14ac:dyDescent="0.2">
      <c r="A329"/>
      <c r="B329" t="s">
        <v>316</v>
      </c>
      <c r="C329" s="263">
        <f t="shared" ref="C329:O329" si="198">C32/C14</f>
        <v>0.39314330383316115</v>
      </c>
      <c r="D329" s="263">
        <f t="shared" si="198"/>
        <v>0.11430177996664986</v>
      </c>
      <c r="E329" s="263">
        <f t="shared" si="198"/>
        <v>0.36198287601546481</v>
      </c>
      <c r="F329" s="263">
        <f t="shared" si="198"/>
        <v>0.24374155739699535</v>
      </c>
      <c r="G329" s="263">
        <f t="shared" si="198"/>
        <v>0.28429995683637871</v>
      </c>
      <c r="H329" s="263">
        <f t="shared" si="198"/>
        <v>0.31126391657172126</v>
      </c>
      <c r="I329" s="263">
        <f t="shared" si="198"/>
        <v>0.34352429099397613</v>
      </c>
      <c r="J329" s="263">
        <f t="shared" si="198"/>
        <v>0.35382158886468162</v>
      </c>
      <c r="K329" s="263">
        <f t="shared" si="198"/>
        <v>0.36474473771875532</v>
      </c>
      <c r="L329" s="263">
        <f t="shared" si="198"/>
        <v>0.37860832403965317</v>
      </c>
      <c r="M329" s="263">
        <f t="shared" si="198"/>
        <v>0.3878634795990929</v>
      </c>
      <c r="N329" s="263">
        <f t="shared" si="198"/>
        <v>0.38580224674792901</v>
      </c>
      <c r="O329" s="263">
        <f t="shared" si="198"/>
        <v>0.38476126353123263</v>
      </c>
      <c r="Q329"/>
      <c r="R329"/>
      <c r="S329"/>
      <c r="T329"/>
      <c r="U329"/>
    </row>
    <row r="330" spans="1:21" s="1" customFormat="1" ht="18" customHeight="1" x14ac:dyDescent="0.2">
      <c r="A330"/>
      <c r="B330" t="s">
        <v>317</v>
      </c>
      <c r="C330" s="289">
        <f t="shared" ref="C330:O330" si="199">C14/C90</f>
        <v>0.4916073070641358</v>
      </c>
      <c r="D330" s="289">
        <f t="shared" si="199"/>
        <v>0.31135259138519122</v>
      </c>
      <c r="E330" s="289">
        <f t="shared" si="199"/>
        <v>0.37340728964533704</v>
      </c>
      <c r="F330" s="289">
        <f t="shared" si="199"/>
        <v>0.43010459088076325</v>
      </c>
      <c r="G330" s="289">
        <f t="shared" si="199"/>
        <v>0.48907325513232575</v>
      </c>
      <c r="H330" s="289">
        <f t="shared" si="199"/>
        <v>0.50997761167382116</v>
      </c>
      <c r="I330" s="289">
        <f t="shared" si="199"/>
        <v>0.53867480640982024</v>
      </c>
      <c r="J330" s="289">
        <f t="shared" si="199"/>
        <v>0.53803792427149344</v>
      </c>
      <c r="K330" s="289">
        <f t="shared" si="199"/>
        <v>0.53152272614225071</v>
      </c>
      <c r="L330" s="289">
        <f t="shared" si="199"/>
        <v>0.51570078286851107</v>
      </c>
      <c r="M330" s="289">
        <f t="shared" si="199"/>
        <v>0.49677096616799077</v>
      </c>
      <c r="N330" s="289">
        <f t="shared" si="199"/>
        <v>0.47788981972031536</v>
      </c>
      <c r="O330" s="289">
        <f t="shared" si="199"/>
        <v>0.45536083245805525</v>
      </c>
      <c r="Q330"/>
      <c r="R330"/>
      <c r="S330"/>
      <c r="T330"/>
      <c r="U330"/>
    </row>
    <row r="331" spans="1:21" s="1" customFormat="1" ht="18" customHeight="1" x14ac:dyDescent="0.2">
      <c r="A331"/>
      <c r="B331" t="s">
        <v>318</v>
      </c>
      <c r="C331" s="289">
        <f t="shared" ref="C331:O331" si="200">C90/C100</f>
        <v>3.0373936968484241</v>
      </c>
      <c r="D331" s="289">
        <f t="shared" si="200"/>
        <v>2.4475457312568336</v>
      </c>
      <c r="E331" s="289">
        <f t="shared" si="200"/>
        <v>2.1046597451163707</v>
      </c>
      <c r="F331" s="289">
        <f t="shared" si="200"/>
        <v>2.0048372199303763</v>
      </c>
      <c r="G331" s="289">
        <f t="shared" si="200"/>
        <v>1.7933650226298818</v>
      </c>
      <c r="H331" s="289">
        <f t="shared" si="200"/>
        <v>1.6716453684882651</v>
      </c>
      <c r="I331" s="289">
        <f t="shared" si="200"/>
        <v>1.5004336693352287</v>
      </c>
      <c r="J331" s="289">
        <f t="shared" si="200"/>
        <v>1.4201644543467733</v>
      </c>
      <c r="K331" s="289">
        <f t="shared" si="200"/>
        <v>1.3480183749141417</v>
      </c>
      <c r="L331" s="289">
        <f t="shared" si="200"/>
        <v>1.2953999291213334</v>
      </c>
      <c r="M331" s="289">
        <f t="shared" si="200"/>
        <v>1.2518334641823838</v>
      </c>
      <c r="N331" s="289">
        <f t="shared" si="200"/>
        <v>1.2116864673437764</v>
      </c>
      <c r="O331" s="289">
        <f t="shared" si="200"/>
        <v>1.1837401824852349</v>
      </c>
      <c r="Q331"/>
      <c r="R331"/>
      <c r="S331"/>
      <c r="T331"/>
      <c r="U331"/>
    </row>
    <row r="332" spans="1:21" s="1" customFormat="1" ht="18" customHeight="1" x14ac:dyDescent="0.2">
      <c r="A332"/>
      <c r="B332" t="s">
        <v>319</v>
      </c>
      <c r="C332" s="305">
        <f>C32/4625</f>
        <v>3.0447567567567568</v>
      </c>
      <c r="D332" s="305">
        <f>D32/4730</f>
        <v>1.2463002114164905</v>
      </c>
      <c r="E332" s="305">
        <f>E32/4741</f>
        <v>4.877873866272938</v>
      </c>
      <c r="F332" s="305">
        <f t="shared" ref="F332:O332" si="201">F32/$D$319</f>
        <v>4.0175929990177384</v>
      </c>
      <c r="G332" s="305">
        <f t="shared" si="201"/>
        <v>5.4698973833381439</v>
      </c>
      <c r="H332" s="305">
        <f t="shared" si="201"/>
        <v>6.7509058012899041</v>
      </c>
      <c r="I332" s="305">
        <f t="shared" si="201"/>
        <v>8.2776643687987441</v>
      </c>
      <c r="J332" s="305">
        <f t="shared" si="201"/>
        <v>9.2827250612135082</v>
      </c>
      <c r="K332" s="305">
        <f t="shared" si="201"/>
        <v>10.252022293254024</v>
      </c>
      <c r="L332" s="305">
        <f t="shared" si="201"/>
        <v>11.319553103081208</v>
      </c>
      <c r="M332" s="305">
        <f t="shared" si="201"/>
        <v>12.220593662601724</v>
      </c>
      <c r="N332" s="305">
        <f t="shared" si="201"/>
        <v>12.7146345069019</v>
      </c>
      <c r="O332" s="305">
        <f t="shared" si="201"/>
        <v>13.162477738340103</v>
      </c>
      <c r="Q332"/>
      <c r="R332"/>
      <c r="S332"/>
      <c r="T332"/>
      <c r="U332"/>
    </row>
    <row r="333" spans="1:21" s="1" customFormat="1" ht="18" customHeight="1" x14ac:dyDescent="0.2">
      <c r="A333"/>
      <c r="B333" t="s">
        <v>320</v>
      </c>
      <c r="C333" s="305"/>
      <c r="D333" s="305"/>
      <c r="E333" s="306">
        <f>D317</f>
        <v>322.50169813548609</v>
      </c>
      <c r="F333" s="305"/>
      <c r="G333" s="305"/>
      <c r="H333" s="305"/>
      <c r="I333" s="305"/>
      <c r="J333" s="305"/>
      <c r="K333" s="305"/>
      <c r="L333" s="305"/>
      <c r="M333" s="305"/>
      <c r="N333" s="305"/>
      <c r="O333" s="305"/>
      <c r="Q333"/>
      <c r="R333"/>
      <c r="S333"/>
      <c r="T333"/>
      <c r="U333"/>
    </row>
    <row r="334" spans="1:21" s="1" customFormat="1" ht="18" customHeight="1" x14ac:dyDescent="0.2">
      <c r="A334"/>
      <c r="B334" t="s">
        <v>321</v>
      </c>
      <c r="C334" s="289">
        <f t="shared" ref="C334:O334" si="202">C251</f>
        <v>12.50924784217016</v>
      </c>
      <c r="D334" s="289">
        <f t="shared" si="202"/>
        <v>6.3900834809005822</v>
      </c>
      <c r="E334" s="289">
        <f t="shared" si="202"/>
        <v>10.880373831775701</v>
      </c>
      <c r="F334" s="289">
        <f t="shared" si="202"/>
        <v>11.305989584106062</v>
      </c>
      <c r="G334" s="289">
        <f t="shared" si="202"/>
        <v>14.442414892398249</v>
      </c>
      <c r="H334" s="289">
        <f t="shared" si="202"/>
        <v>20.28980871766024</v>
      </c>
      <c r="I334" s="289">
        <f t="shared" si="202"/>
        <v>25.669423244932993</v>
      </c>
      <c r="J334" s="289">
        <f t="shared" si="202"/>
        <v>38.024009123036905</v>
      </c>
      <c r="K334" s="289">
        <f t="shared" si="202"/>
        <v>47.465553765800841</v>
      </c>
      <c r="L334" s="289">
        <f t="shared" si="202"/>
        <v>62.925955702508915</v>
      </c>
      <c r="M334" s="289">
        <f t="shared" si="202"/>
        <v>80.254549725874327</v>
      </c>
      <c r="N334" s="289">
        <f t="shared" si="202"/>
        <v>104.3722677474068</v>
      </c>
      <c r="O334" s="289">
        <f t="shared" si="202"/>
        <v>156.73083160084317</v>
      </c>
      <c r="Q334"/>
      <c r="R334"/>
      <c r="S334"/>
      <c r="T334"/>
      <c r="U334"/>
    </row>
    <row r="335" spans="1:21" s="1" customFormat="1" ht="18" customHeight="1" x14ac:dyDescent="0.2">
      <c r="A335"/>
      <c r="B335" t="s">
        <v>322</v>
      </c>
      <c r="C335" s="289">
        <f t="shared" ref="C335:O335" si="203">C254</f>
        <v>1.9334154756037456</v>
      </c>
      <c r="D335" s="289">
        <f t="shared" si="203"/>
        <v>2.6748218527315912</v>
      </c>
      <c r="E335" s="289">
        <f t="shared" si="203"/>
        <v>1.8649716543549217</v>
      </c>
      <c r="F335" s="289">
        <f t="shared" si="203"/>
        <v>1.844510161314056</v>
      </c>
      <c r="G335" s="289">
        <f t="shared" si="203"/>
        <v>1.253030427717825</v>
      </c>
      <c r="H335" s="289">
        <f t="shared" si="203"/>
        <v>1.0043678057748024</v>
      </c>
      <c r="I335" s="289">
        <f t="shared" si="203"/>
        <v>0.63356962316540133</v>
      </c>
      <c r="J335" s="289">
        <f t="shared" si="203"/>
        <v>0.50469545712546726</v>
      </c>
      <c r="K335" s="289">
        <f t="shared" si="203"/>
        <v>0.37792161579431538</v>
      </c>
      <c r="L335" s="289">
        <f t="shared" si="203"/>
        <v>0.29337879211563811</v>
      </c>
      <c r="M335" s="289">
        <f t="shared" si="203"/>
        <v>0.22152291974109059</v>
      </c>
      <c r="N335" s="289">
        <f t="shared" si="203"/>
        <v>0.14630623404675899</v>
      </c>
      <c r="O335" s="289">
        <f t="shared" si="203"/>
        <v>9.9879373552058726E-2</v>
      </c>
      <c r="Q335"/>
      <c r="R335"/>
      <c r="S335"/>
      <c r="T335"/>
      <c r="U335"/>
    </row>
    <row r="336" spans="1:21" s="1" customFormat="1" ht="22" customHeight="1" x14ac:dyDescent="0.2">
      <c r="A336"/>
      <c r="B336"/>
      <c r="C336"/>
      <c r="D336"/>
      <c r="E336"/>
      <c r="F336"/>
      <c r="G336"/>
      <c r="H336"/>
      <c r="I336"/>
      <c r="J336"/>
      <c r="K336"/>
      <c r="L336"/>
      <c r="M336"/>
      <c r="N336"/>
      <c r="O336"/>
      <c r="Q336"/>
      <c r="R336"/>
      <c r="S336"/>
      <c r="T336"/>
      <c r="U336"/>
    </row>
    <row r="337" spans="1:21" s="1" customFormat="1" ht="18" customHeight="1" x14ac:dyDescent="0.2">
      <c r="A337"/>
      <c r="B337"/>
      <c r="C337"/>
      <c r="D337"/>
      <c r="E337"/>
      <c r="F337"/>
      <c r="G337"/>
      <c r="H337"/>
      <c r="I337"/>
      <c r="J337"/>
      <c r="K337"/>
      <c r="L337"/>
      <c r="M337"/>
      <c r="N337"/>
      <c r="O337"/>
      <c r="Q337"/>
      <c r="R337"/>
      <c r="S337"/>
      <c r="T337"/>
      <c r="U337"/>
    </row>
    <row r="338" spans="1:21" ht="19" customHeight="1" x14ac:dyDescent="0.2"/>
    <row r="339" spans="1:21" ht="18" customHeight="1" x14ac:dyDescent="0.2"/>
    <row r="340" spans="1:21" ht="18" customHeight="1" x14ac:dyDescent="0.2"/>
    <row r="341" spans="1:21" ht="18" customHeight="1" x14ac:dyDescent="0.2"/>
    <row r="342" spans="1:21" ht="18" customHeight="1" x14ac:dyDescent="0.2"/>
    <row r="343" spans="1:21" ht="18" customHeight="1" x14ac:dyDescent="0.2"/>
    <row r="344" spans="1:21" ht="18" customHeight="1" x14ac:dyDescent="0.2">
      <c r="B344" s="294"/>
    </row>
    <row r="345" spans="1:21" ht="18" customHeight="1" x14ac:dyDescent="0.2"/>
    <row r="346" spans="1:21" ht="18" customHeight="1" x14ac:dyDescent="0.2"/>
    <row r="361" ht="16" customHeight="1" x14ac:dyDescent="0.2"/>
    <row r="362" ht="16" customHeight="1" x14ac:dyDescent="0.2"/>
    <row r="363" ht="16" customHeight="1" x14ac:dyDescent="0.2"/>
    <row r="364" ht="16" customHeight="1" x14ac:dyDescent="0.2"/>
    <row r="365" ht="17.25" customHeight="1" x14ac:dyDescent="0.2"/>
    <row r="388" spans="17:17" ht="19" x14ac:dyDescent="0.25">
      <c r="Q388" s="94"/>
    </row>
    <row r="389" spans="17:17" ht="19" x14ac:dyDescent="0.25">
      <c r="Q389" s="94"/>
    </row>
    <row r="390" spans="17:17" ht="19" x14ac:dyDescent="0.25">
      <c r="Q390" s="94"/>
    </row>
    <row r="391" spans="17:17" ht="19" x14ac:dyDescent="0.25">
      <c r="Q391" s="296"/>
    </row>
    <row r="392" spans="17:17" ht="19" x14ac:dyDescent="0.25">
      <c r="Q392" s="296"/>
    </row>
  </sheetData>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537D-EFB1-B941-B387-8F78490583AA}">
  <dimension ref="B1:AK24"/>
  <sheetViews>
    <sheetView showGridLines="0" topLeftCell="F8" zoomScale="116" zoomScaleNormal="100" zoomScalePageLayoutView="62" workbookViewId="0">
      <selection activeCell="P27" sqref="P27"/>
    </sheetView>
  </sheetViews>
  <sheetFormatPr baseColWidth="10" defaultColWidth="11" defaultRowHeight="16" x14ac:dyDescent="0.2"/>
  <cols>
    <col min="1" max="1" width="5.5" customWidth="1"/>
    <col min="2" max="2" width="24.5" customWidth="1"/>
    <col min="3" max="3" width="29.83203125" customWidth="1"/>
    <col min="4" max="4" width="2.83203125" customWidth="1"/>
    <col min="5" max="5" width="11.33203125" customWidth="1"/>
    <col min="6" max="6" width="9.5" customWidth="1"/>
    <col min="7" max="9" width="10" customWidth="1"/>
    <col min="10" max="10" width="8.5" customWidth="1"/>
    <col min="11" max="11" width="10.83203125" customWidth="1"/>
    <col min="12" max="12" width="10.33203125" customWidth="1"/>
    <col min="13" max="13" width="8.83203125" customWidth="1"/>
    <col min="14" max="14" width="9" customWidth="1"/>
    <col min="15" max="17" width="8.83203125" customWidth="1"/>
    <col min="18" max="20" width="9.5" customWidth="1"/>
    <col min="21" max="21" width="9" customWidth="1"/>
    <col min="22" max="22" width="8" customWidth="1"/>
    <col min="23" max="23" width="10.33203125" customWidth="1"/>
    <col min="24" max="24" width="6.5" customWidth="1"/>
    <col min="25" max="25" width="9" customWidth="1"/>
    <col min="26" max="26" width="10.83203125" customWidth="1"/>
    <col min="27" max="27" width="9.5" customWidth="1"/>
    <col min="28" max="32" width="8.83203125" customWidth="1"/>
    <col min="33" max="33" width="9.33203125" customWidth="1"/>
    <col min="34" max="34" width="8.83203125" customWidth="1"/>
    <col min="35" max="35" width="6.83203125" customWidth="1"/>
    <col min="36" max="36" width="8.5" customWidth="1"/>
    <col min="37" max="37" width="8" customWidth="1"/>
  </cols>
  <sheetData>
    <row r="1" spans="2:37" x14ac:dyDescent="0.2">
      <c r="I1" s="309"/>
    </row>
    <row r="2" spans="2:37" ht="17" thickBot="1" x14ac:dyDescent="0.25">
      <c r="B2" s="1" t="s">
        <v>491</v>
      </c>
      <c r="E2" s="1"/>
      <c r="K2" s="133"/>
      <c r="AA2" s="81"/>
      <c r="AH2" s="134" t="s">
        <v>323</v>
      </c>
      <c r="AI2" s="134"/>
      <c r="AJ2" s="134"/>
      <c r="AK2" s="134"/>
    </row>
    <row r="3" spans="2:37" ht="44.25" customHeight="1" x14ac:dyDescent="0.2">
      <c r="B3" s="135" t="s">
        <v>324</v>
      </c>
      <c r="C3" s="136" t="s">
        <v>325</v>
      </c>
      <c r="D3" s="136"/>
      <c r="E3" s="136" t="s">
        <v>326</v>
      </c>
      <c r="F3" s="136" t="s">
        <v>327</v>
      </c>
      <c r="G3" s="137" t="s">
        <v>328</v>
      </c>
      <c r="H3" s="137" t="s">
        <v>329</v>
      </c>
      <c r="I3" s="137" t="s">
        <v>330</v>
      </c>
      <c r="J3" s="137" t="s">
        <v>331</v>
      </c>
      <c r="K3" s="137" t="s">
        <v>332</v>
      </c>
      <c r="L3" s="136" t="s">
        <v>333</v>
      </c>
      <c r="M3" s="137" t="s">
        <v>334</v>
      </c>
      <c r="N3" s="137" t="s">
        <v>335</v>
      </c>
      <c r="O3" s="136" t="s">
        <v>336</v>
      </c>
      <c r="P3" s="136" t="s">
        <v>336</v>
      </c>
      <c r="Q3" s="137" t="s">
        <v>337</v>
      </c>
      <c r="R3" s="137" t="s">
        <v>338</v>
      </c>
      <c r="S3" s="137" t="s">
        <v>339</v>
      </c>
      <c r="T3" s="136" t="s">
        <v>340</v>
      </c>
      <c r="U3" s="137" t="s">
        <v>341</v>
      </c>
      <c r="V3" s="137" t="s">
        <v>342</v>
      </c>
      <c r="W3" s="137" t="s">
        <v>343</v>
      </c>
      <c r="X3" s="136" t="s">
        <v>315</v>
      </c>
      <c r="Y3" s="136" t="s">
        <v>344</v>
      </c>
      <c r="Z3" s="136" t="s">
        <v>345</v>
      </c>
      <c r="AA3" s="137" t="s">
        <v>346</v>
      </c>
      <c r="AB3" s="138" t="s">
        <v>347</v>
      </c>
      <c r="AC3" s="139" t="s">
        <v>319</v>
      </c>
      <c r="AD3" s="140" t="s">
        <v>348</v>
      </c>
      <c r="AE3" s="140" t="s">
        <v>349</v>
      </c>
      <c r="AF3" s="139" t="s">
        <v>350</v>
      </c>
      <c r="AG3" s="139" t="s">
        <v>351</v>
      </c>
      <c r="AH3" s="139" t="s">
        <v>352</v>
      </c>
      <c r="AI3" s="139" t="s">
        <v>353</v>
      </c>
      <c r="AJ3" s="139" t="s">
        <v>354</v>
      </c>
      <c r="AK3" s="141" t="s">
        <v>355</v>
      </c>
    </row>
    <row r="4" spans="2:37" ht="30" x14ac:dyDescent="0.2">
      <c r="B4" s="142" t="s">
        <v>356</v>
      </c>
      <c r="C4" s="143" t="s">
        <v>357</v>
      </c>
      <c r="D4" s="144"/>
      <c r="E4" s="224">
        <f>F4+G4+H4-I4</f>
        <v>322131.7</v>
      </c>
      <c r="F4" s="225">
        <f>AA4*AB4</f>
        <v>326309.7</v>
      </c>
      <c r="G4" s="203">
        <v>4006</v>
      </c>
      <c r="H4" s="203">
        <v>2368</v>
      </c>
      <c r="I4" s="203">
        <v>10552</v>
      </c>
      <c r="J4" s="203">
        <v>34639</v>
      </c>
      <c r="K4" s="203">
        <v>25785</v>
      </c>
      <c r="L4" s="197">
        <f>(J4-K4)/K4</f>
        <v>0.34337793290672874</v>
      </c>
      <c r="M4" s="203">
        <v>6745</v>
      </c>
      <c r="N4" s="203">
        <v>5150</v>
      </c>
      <c r="O4" s="197">
        <f>M4/J4</f>
        <v>0.19472271139467073</v>
      </c>
      <c r="P4" s="197">
        <f>M4/J4</f>
        <v>0.19472271139467073</v>
      </c>
      <c r="Q4" s="203">
        <v>3741</v>
      </c>
      <c r="R4" s="226">
        <f>M4+H4</f>
        <v>9113</v>
      </c>
      <c r="S4" s="203">
        <v>4335</v>
      </c>
      <c r="T4" s="197">
        <f>S4/J4</f>
        <v>0.12514795461762754</v>
      </c>
      <c r="U4" s="203">
        <v>76926</v>
      </c>
      <c r="V4" s="203">
        <v>10552</v>
      </c>
      <c r="W4" s="203">
        <v>56985</v>
      </c>
      <c r="X4" s="197">
        <f>S4/W4</f>
        <v>7.6072650697551994E-2</v>
      </c>
      <c r="Y4" s="197">
        <f>S4/U4</f>
        <v>5.6352858591373525E-2</v>
      </c>
      <c r="Z4" s="204">
        <f>G4/M4</f>
        <v>0.5939214232765011</v>
      </c>
      <c r="AA4" s="228">
        <v>200.19</v>
      </c>
      <c r="AB4" s="229">
        <v>1630</v>
      </c>
      <c r="AC4" s="228">
        <v>2.61</v>
      </c>
      <c r="AD4" s="204">
        <f>IF(AC4&lt;=0,"N/M",AA4/AC4)</f>
        <v>76.701149425287355</v>
      </c>
      <c r="AE4" s="204">
        <f>F4/W4</f>
        <v>5.7262384838115299</v>
      </c>
      <c r="AF4" s="197">
        <f>G4/(G4+W4)</f>
        <v>6.568182190815039E-2</v>
      </c>
      <c r="AG4" s="204">
        <f>G4/W4</f>
        <v>7.0299201544266041E-2</v>
      </c>
      <c r="AH4" s="197">
        <f>S4/J4</f>
        <v>0.12514795461762754</v>
      </c>
      <c r="AI4" s="204">
        <f>J4/U4</f>
        <v>0.45028988898421862</v>
      </c>
      <c r="AJ4" s="204">
        <f>U4/W4</f>
        <v>1.3499341932087392</v>
      </c>
      <c r="AK4" s="197">
        <f>AH4*AI4*AJ4</f>
        <v>7.6072650697551994E-2</v>
      </c>
    </row>
    <row r="5" spans="2:37" ht="15" customHeight="1" x14ac:dyDescent="0.2">
      <c r="B5" s="148" t="s">
        <v>358</v>
      </c>
      <c r="C5" s="149" t="s">
        <v>359</v>
      </c>
      <c r="D5" s="150"/>
      <c r="E5" s="230">
        <f>F5+G5+H5-I5</f>
        <v>74787.900000000009</v>
      </c>
      <c r="F5" s="199">
        <f>AA5*AB5</f>
        <v>70492.400000000009</v>
      </c>
      <c r="G5" s="198">
        <v>4777.5</v>
      </c>
      <c r="H5" s="198">
        <v>466</v>
      </c>
      <c r="I5" s="198">
        <v>948</v>
      </c>
      <c r="J5" s="198">
        <v>5767</v>
      </c>
      <c r="K5" s="198">
        <v>5508</v>
      </c>
      <c r="L5" s="200">
        <f>(J5-K5)/K5</f>
        <v>4.7022512708787219E-2</v>
      </c>
      <c r="M5" s="198">
        <v>1348</v>
      </c>
      <c r="N5" s="198">
        <v>780</v>
      </c>
      <c r="O5" s="200">
        <f>M5/J5</f>
        <v>0.23374371423617132</v>
      </c>
      <c r="P5" s="200">
        <f>M5/J5</f>
        <v>0.23374371423617132</v>
      </c>
      <c r="Q5" s="229">
        <v>-8.5</v>
      </c>
      <c r="R5" s="199">
        <f>M5+H5</f>
        <v>1814</v>
      </c>
      <c r="S5" s="229">
        <v>-885</v>
      </c>
      <c r="T5" s="200">
        <f>S5/J5</f>
        <v>-0.15345933761054276</v>
      </c>
      <c r="U5" s="198">
        <v>20205</v>
      </c>
      <c r="V5" s="198">
        <v>948</v>
      </c>
      <c r="W5" s="198">
        <v>12363</v>
      </c>
      <c r="X5" s="200">
        <f>S5/W5</f>
        <v>-7.1584566852705658E-2</v>
      </c>
      <c r="Y5" s="200">
        <f>S5/U5</f>
        <v>-4.3801039346696359E-2</v>
      </c>
      <c r="Z5" s="201">
        <f>G5/M5</f>
        <v>3.5441394658753711</v>
      </c>
      <c r="AA5" s="232">
        <v>81.400000000000006</v>
      </c>
      <c r="AB5" s="198">
        <v>866</v>
      </c>
      <c r="AC5" s="232">
        <v>-1.02</v>
      </c>
      <c r="AD5" s="201" t="str">
        <f>IF(AC5&lt;=0,"N/M",AA5/AC5)</f>
        <v>N/M</v>
      </c>
      <c r="AE5" s="201">
        <f>F5/W5</f>
        <v>5.7018846558278744</v>
      </c>
      <c r="AF5" s="200">
        <f>G5/(G5+W5)</f>
        <v>0.27872582480091013</v>
      </c>
      <c r="AG5" s="201">
        <f>G5/W5</f>
        <v>0.3864353312302839</v>
      </c>
      <c r="AH5" s="200">
        <f>S5/J5</f>
        <v>-0.15345933761054276</v>
      </c>
      <c r="AI5" s="201">
        <f>J5/U5</f>
        <v>0.28542439990101459</v>
      </c>
      <c r="AJ5" s="201">
        <f>U5/W5</f>
        <v>1.634312060179568</v>
      </c>
      <c r="AK5" s="200">
        <f>AH5*AI5*AJ5</f>
        <v>-7.1584566852705658E-2</v>
      </c>
    </row>
    <row r="6" spans="2:37" ht="30" x14ac:dyDescent="0.2">
      <c r="B6" s="142" t="s">
        <v>360</v>
      </c>
      <c r="C6" s="143" t="s">
        <v>361</v>
      </c>
      <c r="D6" s="144"/>
      <c r="E6" s="233">
        <f>F6+G6+H6-I6</f>
        <v>4478509.4800000004</v>
      </c>
      <c r="F6" s="226">
        <f>AA6*AB6</f>
        <v>4509642.4800000004</v>
      </c>
      <c r="G6" s="198">
        <v>10270</v>
      </c>
      <c r="H6" s="198">
        <v>1807</v>
      </c>
      <c r="I6" s="198">
        <v>43210</v>
      </c>
      <c r="J6" s="198">
        <v>130497</v>
      </c>
      <c r="K6" s="198">
        <v>60922</v>
      </c>
      <c r="L6" s="197">
        <f>(J6-K6)/K6</f>
        <v>1.1420340763599357</v>
      </c>
      <c r="M6" s="198">
        <v>83317</v>
      </c>
      <c r="N6" s="198">
        <v>34480</v>
      </c>
      <c r="O6" s="197">
        <f>M6/J6</f>
        <v>0.63845912166563212</v>
      </c>
      <c r="P6" s="197">
        <f>M6/J6</f>
        <v>0.63845912166563212</v>
      </c>
      <c r="Q6" s="198">
        <v>81453</v>
      </c>
      <c r="R6" s="226">
        <f>M6+H6</f>
        <v>85124</v>
      </c>
      <c r="S6" s="198">
        <v>72880</v>
      </c>
      <c r="T6" s="197">
        <f>S6/J6</f>
        <v>0.55848027157712443</v>
      </c>
      <c r="U6" s="198">
        <v>111601</v>
      </c>
      <c r="V6" s="198">
        <v>43210</v>
      </c>
      <c r="W6" s="198">
        <v>42978</v>
      </c>
      <c r="X6" s="197">
        <f>S6/W6</f>
        <v>1.6957513146260879</v>
      </c>
      <c r="Y6" s="197">
        <f>S6/U6</f>
        <v>0.65304074336251472</v>
      </c>
      <c r="Z6" s="204">
        <f>G6/M6</f>
        <v>0.12326415977531596</v>
      </c>
      <c r="AA6" s="232">
        <v>184.24</v>
      </c>
      <c r="AB6" s="198">
        <v>24477</v>
      </c>
      <c r="AC6" s="232">
        <v>2.94</v>
      </c>
      <c r="AD6" s="204">
        <f>IF(AC6&lt;=0,"N/M",AA6/AC6)</f>
        <v>62.666666666666671</v>
      </c>
      <c r="AE6" s="204">
        <f>F6/W6</f>
        <v>104.92909116292057</v>
      </c>
      <c r="AF6" s="197">
        <f>G6/(G6+W6)</f>
        <v>0.19287109375</v>
      </c>
      <c r="AG6" s="204">
        <f>G6/W6</f>
        <v>0.23895946763460374</v>
      </c>
      <c r="AH6" s="197">
        <f>S6/J6</f>
        <v>0.55848027157712443</v>
      </c>
      <c r="AI6" s="204">
        <f>J6/U6</f>
        <v>1.169317479234057</v>
      </c>
      <c r="AJ6" s="204">
        <f>U6/W6</f>
        <v>2.5967006375354833</v>
      </c>
      <c r="AK6" s="197">
        <f>AH6*AI6*AJ6</f>
        <v>1.6957513146260879</v>
      </c>
    </row>
    <row r="7" spans="2:37" ht="30" x14ac:dyDescent="0.2">
      <c r="B7" s="148" t="s">
        <v>362</v>
      </c>
      <c r="C7" s="149" t="s">
        <v>363</v>
      </c>
      <c r="D7" s="150"/>
      <c r="E7" s="230">
        <f>F7+G7+H7-I7</f>
        <v>153261.19999999998</v>
      </c>
      <c r="F7" s="199">
        <f>AA7*AB7</f>
        <v>146941.19999999998</v>
      </c>
      <c r="G7" s="198">
        <v>15643</v>
      </c>
      <c r="H7" s="198">
        <v>832</v>
      </c>
      <c r="I7" s="198">
        <v>10155</v>
      </c>
      <c r="J7" s="198">
        <v>44284</v>
      </c>
      <c r="K7" s="198">
        <v>38962</v>
      </c>
      <c r="L7" s="200">
        <f>(J7-K7)/K7</f>
        <v>0.1365946306657769</v>
      </c>
      <c r="M7" s="198">
        <v>13996</v>
      </c>
      <c r="N7" s="198">
        <v>11959</v>
      </c>
      <c r="O7" s="200">
        <f>M7/J7</f>
        <v>0.3160509439075061</v>
      </c>
      <c r="P7" s="200">
        <f>M7/J7</f>
        <v>0.3160509439075061</v>
      </c>
      <c r="Q7" s="198">
        <v>12394</v>
      </c>
      <c r="R7" s="199">
        <f>M7+H7</f>
        <v>14828</v>
      </c>
      <c r="S7" s="198">
        <v>5541</v>
      </c>
      <c r="T7" s="200">
        <f>S7/J7</f>
        <v>0.12512419835606539</v>
      </c>
      <c r="U7" s="198">
        <v>50143</v>
      </c>
      <c r="V7" s="198">
        <v>10155</v>
      </c>
      <c r="W7" s="198">
        <v>8437</v>
      </c>
      <c r="X7" s="200">
        <f>S7/W7</f>
        <v>0.65675002963138551</v>
      </c>
      <c r="Y7" s="200">
        <f>S7/U7</f>
        <v>0.1105039586781804</v>
      </c>
      <c r="Z7" s="201">
        <f>G7/M7</f>
        <v>1.1176764789939984</v>
      </c>
      <c r="AA7" s="232">
        <v>137.19999999999999</v>
      </c>
      <c r="AB7" s="198">
        <v>1071</v>
      </c>
      <c r="AC7" s="232">
        <v>5.01</v>
      </c>
      <c r="AD7" s="201">
        <f>IF(AC7&lt;=0,"N/M",AA7/AC7)</f>
        <v>27.385229540918164</v>
      </c>
      <c r="AE7" s="201">
        <f>F7/W7</f>
        <v>17.416285409505747</v>
      </c>
      <c r="AF7" s="200">
        <f>G7/(G7+W7)</f>
        <v>0.6496262458471761</v>
      </c>
      <c r="AG7" s="201">
        <f>G7/W7</f>
        <v>1.854095057484888</v>
      </c>
      <c r="AH7" s="200">
        <f>S7/J7</f>
        <v>0.12512419835606539</v>
      </c>
      <c r="AI7" s="201">
        <f>J7/U7</f>
        <v>0.88315417904792293</v>
      </c>
      <c r="AJ7" s="201">
        <f>U7/W7</f>
        <v>5.9432262652601633</v>
      </c>
      <c r="AK7" s="200">
        <f>AH7*AI7*AJ7</f>
        <v>0.65675002963138551</v>
      </c>
    </row>
    <row r="8" spans="2:37" ht="30" x14ac:dyDescent="0.2">
      <c r="B8" s="142" t="s">
        <v>364</v>
      </c>
      <c r="C8" s="143" t="s">
        <v>365</v>
      </c>
      <c r="D8" s="144"/>
      <c r="E8" s="233">
        <f>F8+G8+H8-I8</f>
        <v>271321.03999999998</v>
      </c>
      <c r="F8" s="226">
        <f>AA8*AB8</f>
        <v>252996.03999999998</v>
      </c>
      <c r="G8" s="203">
        <v>47109</v>
      </c>
      <c r="H8" s="203">
        <v>8632</v>
      </c>
      <c r="I8" s="203">
        <v>37416</v>
      </c>
      <c r="J8" s="203">
        <v>52853</v>
      </c>
      <c r="K8" s="203">
        <v>53101</v>
      </c>
      <c r="L8" s="197">
        <f>(J8-K8)/K8</f>
        <v>-4.6703451912393362E-3</v>
      </c>
      <c r="M8" s="203">
        <v>12633</v>
      </c>
      <c r="N8" s="203">
        <v>9971</v>
      </c>
      <c r="O8" s="197">
        <f>M8/J8</f>
        <v>0.23902143681531796</v>
      </c>
      <c r="P8" s="197">
        <f>M8/J8</f>
        <v>0.23902143681531796</v>
      </c>
      <c r="Q8" s="203">
        <v>927</v>
      </c>
      <c r="R8" s="226">
        <f>M8+H8</f>
        <v>21265</v>
      </c>
      <c r="S8" s="203">
        <v>-267</v>
      </c>
      <c r="T8" s="197">
        <f>S8/J8</f>
        <v>-5.0517472991126328E-3</v>
      </c>
      <c r="U8" s="205">
        <v>211429</v>
      </c>
      <c r="V8" s="205">
        <v>37416</v>
      </c>
      <c r="W8" s="205">
        <v>114281</v>
      </c>
      <c r="X8" s="197">
        <f>S8/W8</f>
        <v>-2.3363463742879392E-3</v>
      </c>
      <c r="Y8" s="197">
        <f>S8/U8</f>
        <v>-1.2628352780365986E-3</v>
      </c>
      <c r="Z8" s="204">
        <f>G8/M8</f>
        <v>3.7290429826644504</v>
      </c>
      <c r="AA8" s="228">
        <v>50.66</v>
      </c>
      <c r="AB8" s="198">
        <v>4994</v>
      </c>
      <c r="AC8" s="228">
        <v>-0.06</v>
      </c>
      <c r="AD8" s="204" t="str">
        <f>IF(AC8&lt;=0,"N/M",AA8/AC8)</f>
        <v>N/M</v>
      </c>
      <c r="AE8" s="204">
        <f>F8/W8</f>
        <v>2.2138066695251175</v>
      </c>
      <c r="AF8" s="197">
        <f>G8/(G8+W8)</f>
        <v>0.29189540863746205</v>
      </c>
      <c r="AG8" s="204">
        <f>G8/W8</f>
        <v>0.41222075410610687</v>
      </c>
      <c r="AH8" s="197">
        <f>S8/J8</f>
        <v>-5.0517472991126328E-3</v>
      </c>
      <c r="AI8" s="204">
        <f>J8/U8</f>
        <v>0.24997989868939455</v>
      </c>
      <c r="AJ8" s="204">
        <f>U8/W8</f>
        <v>1.8500800658027143</v>
      </c>
      <c r="AK8" s="197">
        <f>AH8*AI8*AJ8</f>
        <v>-2.3363463742879392E-3</v>
      </c>
    </row>
    <row r="9" spans="2:37" x14ac:dyDescent="0.2">
      <c r="B9" s="154"/>
      <c r="C9" s="155"/>
      <c r="D9" s="150"/>
      <c r="E9" s="234"/>
      <c r="F9" s="235"/>
      <c r="G9" s="235"/>
      <c r="H9" s="235"/>
      <c r="I9" s="235"/>
      <c r="J9" s="236"/>
      <c r="K9" s="236"/>
      <c r="L9" s="237"/>
      <c r="M9" s="238"/>
      <c r="N9" s="236"/>
      <c r="O9" s="236"/>
      <c r="P9" s="236"/>
      <c r="Q9" s="235"/>
      <c r="R9" s="235"/>
      <c r="S9" s="235"/>
      <c r="T9" s="237"/>
      <c r="U9" s="237"/>
      <c r="V9" s="236"/>
      <c r="W9" s="231"/>
      <c r="X9" s="236"/>
      <c r="Y9" s="238"/>
      <c r="Z9" s="238"/>
      <c r="AA9" s="239"/>
      <c r="AB9" s="239"/>
      <c r="AC9" s="239"/>
      <c r="AD9" s="240"/>
      <c r="AE9" s="240"/>
      <c r="AF9" s="241"/>
      <c r="AG9" s="242"/>
      <c r="AH9" s="242"/>
      <c r="AI9" s="242"/>
      <c r="AJ9" s="242"/>
      <c r="AK9" s="242"/>
    </row>
    <row r="10" spans="2:37" x14ac:dyDescent="0.2">
      <c r="B10" s="156" t="s">
        <v>366</v>
      </c>
      <c r="C10" s="157"/>
      <c r="D10" s="158"/>
      <c r="E10" s="243">
        <f>AVERAGE(E4:E8)</f>
        <v>1060002.264</v>
      </c>
      <c r="F10" s="243">
        <f>AVERAGE(F4:F8)</f>
        <v>1061276.3640000001</v>
      </c>
      <c r="G10" s="243">
        <f>AVERAGE(G4:G8)</f>
        <v>16361.1</v>
      </c>
      <c r="H10" s="243">
        <f>AVERAGE(H4:H8)</f>
        <v>2821</v>
      </c>
      <c r="I10" s="243">
        <f t="shared" ref="I10:Q10" si="0">AVERAGE(I4:I8)</f>
        <v>20456.2</v>
      </c>
      <c r="J10" s="243">
        <f t="shared" si="0"/>
        <v>53608</v>
      </c>
      <c r="K10" s="243">
        <f t="shared" si="0"/>
        <v>36855.599999999999</v>
      </c>
      <c r="L10" s="244">
        <f t="shared" si="0"/>
        <v>0.33287176148999781</v>
      </c>
      <c r="M10" s="243">
        <f t="shared" si="0"/>
        <v>23607.8</v>
      </c>
      <c r="N10" s="243">
        <f t="shared" si="0"/>
        <v>12468</v>
      </c>
      <c r="O10" s="244">
        <f t="shared" si="0"/>
        <v>0.32439958560385962</v>
      </c>
      <c r="P10" s="244">
        <f t="shared" si="0"/>
        <v>0.32439958560385962</v>
      </c>
      <c r="Q10" s="243">
        <f t="shared" si="0"/>
        <v>19701.3</v>
      </c>
      <c r="R10" s="245"/>
      <c r="S10" s="243">
        <f>AVERAGE(S4:S8)</f>
        <v>16320.8</v>
      </c>
      <c r="T10" s="244">
        <f>AVERAGE(T4:T8)</f>
        <v>0.13004826792823238</v>
      </c>
      <c r="U10" s="243">
        <f>AVERAGE(U4:U8)</f>
        <v>94060.800000000003</v>
      </c>
      <c r="V10" s="243">
        <f>AVERAGE(V4:V8)</f>
        <v>20456.2</v>
      </c>
      <c r="W10" s="243">
        <f>AVERAGE(W4:W8)</f>
        <v>47008.800000000003</v>
      </c>
      <c r="X10" s="244">
        <f t="shared" ref="X10:AK10" si="1">AVERAGE(X4:X8)</f>
        <v>0.47093061634560635</v>
      </c>
      <c r="Y10" s="244">
        <f t="shared" si="1"/>
        <v>0.15496673720146714</v>
      </c>
      <c r="Z10" s="246">
        <f t="shared" si="1"/>
        <v>1.8216089021171276</v>
      </c>
      <c r="AA10" s="247">
        <f t="shared" si="1"/>
        <v>130.738</v>
      </c>
      <c r="AB10" s="243">
        <f t="shared" si="1"/>
        <v>6607.6</v>
      </c>
      <c r="AC10" s="247">
        <f t="shared" si="1"/>
        <v>1.8959999999999997</v>
      </c>
      <c r="AD10" s="246">
        <f t="shared" si="1"/>
        <v>55.584348544290727</v>
      </c>
      <c r="AE10" s="246">
        <f t="shared" si="1"/>
        <v>27.197461276318172</v>
      </c>
      <c r="AF10" s="244">
        <f t="shared" si="1"/>
        <v>0.29576007898873974</v>
      </c>
      <c r="AG10" s="246">
        <f t="shared" si="1"/>
        <v>0.59240196240002974</v>
      </c>
      <c r="AH10" s="244">
        <f t="shared" si="1"/>
        <v>0.13004826792823238</v>
      </c>
      <c r="AI10" s="246">
        <f t="shared" si="1"/>
        <v>0.6076331691713216</v>
      </c>
      <c r="AJ10" s="246">
        <f t="shared" si="1"/>
        <v>2.6748506443973339</v>
      </c>
      <c r="AK10" s="244">
        <f t="shared" si="1"/>
        <v>0.47093061634560635</v>
      </c>
    </row>
    <row r="11" spans="2:37" x14ac:dyDescent="0.2">
      <c r="B11" s="162" t="s">
        <v>367</v>
      </c>
      <c r="C11" s="163"/>
      <c r="D11" s="164"/>
      <c r="E11" s="248">
        <f>MEDIAN(E4:E8)</f>
        <v>271321.03999999998</v>
      </c>
      <c r="F11" s="248">
        <f>MEDIAN(F4:F8)</f>
        <v>252996.03999999998</v>
      </c>
      <c r="G11" s="248">
        <f>MEDIAN(G4:G8)</f>
        <v>10270</v>
      </c>
      <c r="H11" s="248">
        <f>MEDIAN(H4:H8)</f>
        <v>1807</v>
      </c>
      <c r="I11" s="248">
        <f t="shared" ref="I11:Q11" si="2">MEDIAN(I4:I8)</f>
        <v>10552</v>
      </c>
      <c r="J11" s="248">
        <f t="shared" si="2"/>
        <v>44284</v>
      </c>
      <c r="K11" s="248">
        <f t="shared" si="2"/>
        <v>38962</v>
      </c>
      <c r="L11" s="249">
        <f t="shared" si="2"/>
        <v>0.1365946306657769</v>
      </c>
      <c r="M11" s="248">
        <f t="shared" si="2"/>
        <v>12633</v>
      </c>
      <c r="N11" s="248">
        <f t="shared" si="2"/>
        <v>9971</v>
      </c>
      <c r="O11" s="249">
        <f t="shared" si="2"/>
        <v>0.23902143681531796</v>
      </c>
      <c r="P11" s="249">
        <f t="shared" si="2"/>
        <v>0.23902143681531796</v>
      </c>
      <c r="Q11" s="248">
        <f t="shared" si="2"/>
        <v>3741</v>
      </c>
      <c r="R11" s="250"/>
      <c r="S11" s="248">
        <f>MEDIAN(S4:S8)</f>
        <v>4335</v>
      </c>
      <c r="T11" s="249">
        <f>MEDIAN(T4:T8)</f>
        <v>0.12512419835606539</v>
      </c>
      <c r="U11" s="248">
        <f>MEDIAN(U4:U8)</f>
        <v>76926</v>
      </c>
      <c r="V11" s="248">
        <f>MEDIAN(V4:V8)</f>
        <v>10552</v>
      </c>
      <c r="W11" s="248">
        <f>MEDIAN(W4:W8)</f>
        <v>42978</v>
      </c>
      <c r="X11" s="249">
        <f t="shared" ref="X11:AK11" si="3">MEDIAN(X4:X8)</f>
        <v>7.6072650697551994E-2</v>
      </c>
      <c r="Y11" s="249">
        <f t="shared" si="3"/>
        <v>5.6352858591373525E-2</v>
      </c>
      <c r="Z11" s="251">
        <f t="shared" si="3"/>
        <v>1.1176764789939984</v>
      </c>
      <c r="AA11" s="252">
        <f t="shared" si="3"/>
        <v>137.19999999999999</v>
      </c>
      <c r="AB11" s="248">
        <f t="shared" si="3"/>
        <v>1630</v>
      </c>
      <c r="AC11" s="252">
        <f t="shared" si="3"/>
        <v>2.61</v>
      </c>
      <c r="AD11" s="251">
        <f t="shared" si="3"/>
        <v>62.666666666666671</v>
      </c>
      <c r="AE11" s="251">
        <f t="shared" si="3"/>
        <v>5.7262384838115299</v>
      </c>
      <c r="AF11" s="249">
        <f t="shared" si="3"/>
        <v>0.27872582480091013</v>
      </c>
      <c r="AG11" s="251">
        <f t="shared" si="3"/>
        <v>0.3864353312302839</v>
      </c>
      <c r="AH11" s="249">
        <f t="shared" si="3"/>
        <v>0.12512419835606539</v>
      </c>
      <c r="AI11" s="251">
        <f t="shared" si="3"/>
        <v>0.45028988898421862</v>
      </c>
      <c r="AJ11" s="251">
        <f t="shared" si="3"/>
        <v>1.8500800658027143</v>
      </c>
      <c r="AK11" s="249">
        <f t="shared" si="3"/>
        <v>7.6072650697551994E-2</v>
      </c>
    </row>
    <row r="12" spans="2:37" x14ac:dyDescent="0.2">
      <c r="B12" s="168"/>
      <c r="C12" s="169"/>
      <c r="D12" s="170"/>
      <c r="E12" s="253"/>
      <c r="F12" s="254"/>
      <c r="G12" s="254"/>
      <c r="H12" s="254"/>
      <c r="I12" s="254"/>
      <c r="J12" s="254"/>
      <c r="K12" s="254"/>
      <c r="L12" s="254"/>
      <c r="M12" s="253"/>
      <c r="N12" s="253"/>
      <c r="O12" s="253"/>
      <c r="P12" s="253"/>
      <c r="Q12" s="253"/>
      <c r="R12" s="254"/>
      <c r="S12" s="254"/>
      <c r="T12" s="254"/>
      <c r="U12" s="253"/>
      <c r="V12" s="254"/>
      <c r="W12" s="227"/>
      <c r="X12" s="254"/>
      <c r="Y12" s="253"/>
      <c r="Z12" s="253"/>
      <c r="AA12" s="253"/>
      <c r="AB12" s="253"/>
      <c r="AC12" s="253"/>
      <c r="AD12" s="171"/>
      <c r="AE12" s="171"/>
      <c r="AF12" s="255"/>
      <c r="AG12" s="255"/>
      <c r="AH12" s="255"/>
      <c r="AI12" s="255"/>
      <c r="AJ12" s="255"/>
      <c r="AK12" s="255"/>
    </row>
    <row r="13" spans="2:37" ht="16" customHeight="1" thickBot="1" x14ac:dyDescent="0.25">
      <c r="B13" s="172" t="s">
        <v>31</v>
      </c>
      <c r="C13" s="581"/>
      <c r="D13" s="581"/>
      <c r="E13" s="256">
        <f>F13+G13+H13-I13</f>
        <v>1628995.5381674999</v>
      </c>
      <c r="F13" s="257">
        <f>AA13*AB13</f>
        <v>1576473.5381674999</v>
      </c>
      <c r="G13" s="258">
        <f>'Valuation Project'!E248</f>
        <v>65136</v>
      </c>
      <c r="H13" s="258">
        <f>'Valuation Project'!E95</f>
        <v>1325</v>
      </c>
      <c r="I13" s="258">
        <f>'Valuation Project'!E130</f>
        <v>13939</v>
      </c>
      <c r="J13" s="258">
        <f>'Valuation Project'!E13</f>
        <v>63887</v>
      </c>
      <c r="K13" s="258">
        <f>'Valuation Project'!D13</f>
        <v>51574</v>
      </c>
      <c r="L13" s="259">
        <f>(J13-K13)/K13</f>
        <v>0.23874432853763525</v>
      </c>
      <c r="M13" s="258">
        <f>'Valuation Project'!E20</f>
        <v>34926</v>
      </c>
      <c r="N13" s="258">
        <f>'Valuation Project'!D20</f>
        <v>25260</v>
      </c>
      <c r="O13" s="259">
        <f>M13/J13</f>
        <v>0.54668398891793324</v>
      </c>
      <c r="P13" s="259">
        <f>M13/J13</f>
        <v>0.54668398891793324</v>
      </c>
      <c r="Q13" s="258">
        <f>'Valuation Project'!E23</f>
        <v>26151</v>
      </c>
      <c r="R13" s="257">
        <f>M13+H13</f>
        <v>36251</v>
      </c>
      <c r="S13" s="258">
        <f>'Valuation Project'!E31</f>
        <v>23126</v>
      </c>
      <c r="T13" s="259">
        <f>S13/J13</f>
        <v>0.36198287601546481</v>
      </c>
      <c r="U13" s="258">
        <f>'Valuation Project'!E89</f>
        <v>171092</v>
      </c>
      <c r="V13" s="258">
        <f>'Valuation Project'!E77+'Valuation Project'!E78</f>
        <v>16178</v>
      </c>
      <c r="W13" s="258">
        <f>'Valuation Project'!E99</f>
        <v>81292</v>
      </c>
      <c r="X13" s="259">
        <f>S13/W13</f>
        <v>0.2844806377011268</v>
      </c>
      <c r="Y13" s="259">
        <f>S13/U13</f>
        <v>0.13516704463095877</v>
      </c>
      <c r="Z13" s="260">
        <f>G13/M13</f>
        <v>1.8649716543549217</v>
      </c>
      <c r="AA13" s="261">
        <v>332.5</v>
      </c>
      <c r="AB13" s="258">
        <f>'Valuation Project'!D318</f>
        <v>4741.2737989999996</v>
      </c>
      <c r="AC13" s="261">
        <f>S13/AB13</f>
        <v>4.87759217889454</v>
      </c>
      <c r="AD13" s="260">
        <f>IF(AC13&lt;=0,"N/M",AA13/AC13)</f>
        <v>68.168880834017983</v>
      </c>
      <c r="AE13" s="260">
        <f>F13/W13</f>
        <v>19.392726691033559</v>
      </c>
      <c r="AF13" s="259">
        <f>G13/(G13+W13)</f>
        <v>0.4448329554456798</v>
      </c>
      <c r="AG13" s="260">
        <f>G13/W13</f>
        <v>0.80125965654676967</v>
      </c>
      <c r="AH13" s="259">
        <f>S13/J13</f>
        <v>0.36198287601546481</v>
      </c>
      <c r="AI13" s="260">
        <f>J13/U13</f>
        <v>0.37340728964533704</v>
      </c>
      <c r="AJ13" s="260">
        <f>U13/W13</f>
        <v>2.1046597451163707</v>
      </c>
      <c r="AK13" s="259">
        <f>AH13*AI13*AJ13</f>
        <v>0.28448063770112686</v>
      </c>
    </row>
    <row r="14" spans="2:37" x14ac:dyDescent="0.2">
      <c r="E14" s="178"/>
      <c r="R14" s="179"/>
      <c r="S14" s="179"/>
      <c r="T14" s="179"/>
      <c r="AD14" s="180"/>
    </row>
    <row r="15" spans="2:37" ht="17" thickBot="1" x14ac:dyDescent="0.25">
      <c r="B15" s="1" t="s">
        <v>368</v>
      </c>
      <c r="E15" s="178"/>
      <c r="R15" s="179"/>
      <c r="S15" s="179"/>
      <c r="T15" s="179"/>
      <c r="AD15" s="180"/>
    </row>
    <row r="16" spans="2:37" ht="34" x14ac:dyDescent="0.2">
      <c r="B16" s="181" t="s">
        <v>324</v>
      </c>
      <c r="C16" s="182"/>
      <c r="D16" s="182"/>
      <c r="E16" s="183" t="s">
        <v>326</v>
      </c>
      <c r="F16" s="183" t="s">
        <v>331</v>
      </c>
      <c r="G16" s="136" t="s">
        <v>369</v>
      </c>
      <c r="H16" s="184" t="s">
        <v>370</v>
      </c>
      <c r="I16" s="184" t="s">
        <v>371</v>
      </c>
      <c r="J16" s="184" t="s">
        <v>372</v>
      </c>
      <c r="K16" s="184" t="s">
        <v>373</v>
      </c>
      <c r="L16" s="184" t="s">
        <v>374</v>
      </c>
      <c r="M16" s="184" t="s">
        <v>375</v>
      </c>
      <c r="N16" s="185" t="s">
        <v>349</v>
      </c>
      <c r="O16" s="185" t="s">
        <v>348</v>
      </c>
      <c r="P16" s="185" t="s">
        <v>349</v>
      </c>
      <c r="Q16" s="185" t="s">
        <v>348</v>
      </c>
      <c r="R16" s="136" t="s">
        <v>344</v>
      </c>
      <c r="S16" s="184" t="s">
        <v>315</v>
      </c>
      <c r="T16" s="184" t="s">
        <v>327</v>
      </c>
      <c r="U16" s="136" t="s">
        <v>376</v>
      </c>
      <c r="V16" s="136" t="s">
        <v>377</v>
      </c>
      <c r="W16" s="186" t="s">
        <v>378</v>
      </c>
      <c r="AD16" s="180"/>
    </row>
    <row r="17" spans="2:30" x14ac:dyDescent="0.2">
      <c r="B17" s="187" t="s">
        <v>360</v>
      </c>
      <c r="C17" s="188"/>
      <c r="D17" s="188"/>
      <c r="E17" s="151">
        <f>E6</f>
        <v>4478509.4800000004</v>
      </c>
      <c r="F17" s="151">
        <f>J6</f>
        <v>130497</v>
      </c>
      <c r="G17" s="152">
        <f>L6</f>
        <v>1.1420340763599357</v>
      </c>
      <c r="H17" s="151">
        <f>M6</f>
        <v>83317</v>
      </c>
      <c r="I17" s="152">
        <f>O6</f>
        <v>0.63845912166563212</v>
      </c>
      <c r="J17" s="153">
        <f>E6/J6</f>
        <v>34.318869246036314</v>
      </c>
      <c r="K17" s="153">
        <f>IF(Q6&lt;=0,"N/M",E6/Q6)</f>
        <v>54.982744404748757</v>
      </c>
      <c r="L17" s="153">
        <f>E6/M6</f>
        <v>53.75264927925874</v>
      </c>
      <c r="M17" s="153">
        <f>E6/R6</f>
        <v>52.61159578967154</v>
      </c>
      <c r="N17" s="153">
        <f>AE6</f>
        <v>104.92909116292057</v>
      </c>
      <c r="O17" s="153">
        <f>AD6</f>
        <v>62.666666666666671</v>
      </c>
      <c r="P17" s="153">
        <f>AE6</f>
        <v>104.92909116292057</v>
      </c>
      <c r="Q17" s="153">
        <f>AD6</f>
        <v>62.666666666666671</v>
      </c>
      <c r="R17" s="152">
        <f>Y6</f>
        <v>0.65304074336251472</v>
      </c>
      <c r="S17" s="152">
        <f>X6</f>
        <v>1.6957513146260879</v>
      </c>
      <c r="T17" s="151">
        <f>F6</f>
        <v>4509642.4800000004</v>
      </c>
      <c r="U17" s="151">
        <f>G6-I6</f>
        <v>-32940</v>
      </c>
      <c r="V17" s="153">
        <f>Z6</f>
        <v>0.12326415977531596</v>
      </c>
      <c r="W17" s="189">
        <f>(G6+H6)/R6</f>
        <v>0.14187538179596823</v>
      </c>
      <c r="AD17" s="180"/>
    </row>
    <row r="18" spans="2:30" x14ac:dyDescent="0.2">
      <c r="B18" s="190" t="s">
        <v>362</v>
      </c>
      <c r="E18" s="145">
        <f>E7</f>
        <v>153261.19999999998</v>
      </c>
      <c r="F18" s="145">
        <f>J7</f>
        <v>44284</v>
      </c>
      <c r="G18" s="146">
        <f>L7</f>
        <v>0.1365946306657769</v>
      </c>
      <c r="H18" s="145">
        <f>M7</f>
        <v>13996</v>
      </c>
      <c r="I18" s="146">
        <f>O7</f>
        <v>0.3160509439075061</v>
      </c>
      <c r="J18" s="147">
        <f>E7/J7</f>
        <v>3.4608707433836146</v>
      </c>
      <c r="K18" s="147">
        <f>IF(Q7&lt;=0,"N/M",E7/Q7)</f>
        <v>12.365757624657091</v>
      </c>
      <c r="L18" s="147">
        <f>E7/M7</f>
        <v>10.950357244927121</v>
      </c>
      <c r="M18" s="147">
        <f>E7/R7</f>
        <v>10.335932020501753</v>
      </c>
      <c r="N18" s="147">
        <f>AE7</f>
        <v>17.416285409505747</v>
      </c>
      <c r="O18" s="147">
        <f>AD7</f>
        <v>27.385229540918164</v>
      </c>
      <c r="P18" s="147">
        <f>AE7</f>
        <v>17.416285409505747</v>
      </c>
      <c r="Q18" s="147">
        <f>AD7</f>
        <v>27.385229540918164</v>
      </c>
      <c r="R18" s="146">
        <f>Y7</f>
        <v>0.1105039586781804</v>
      </c>
      <c r="S18" s="146">
        <f>X7</f>
        <v>0.65675002963138551</v>
      </c>
      <c r="T18" s="145">
        <f>F7</f>
        <v>146941.19999999998</v>
      </c>
      <c r="U18" s="145">
        <f>G7-I7</f>
        <v>5488</v>
      </c>
      <c r="V18" s="147">
        <f>Z7</f>
        <v>1.1176764789939984</v>
      </c>
      <c r="W18" s="191">
        <f>(G7+H7)/R7</f>
        <v>1.1110736444564338</v>
      </c>
      <c r="AD18" s="180"/>
    </row>
    <row r="19" spans="2:30" x14ac:dyDescent="0.2">
      <c r="B19" s="187" t="s">
        <v>356</v>
      </c>
      <c r="C19" s="188"/>
      <c r="D19" s="188"/>
      <c r="E19" s="199">
        <f>E4</f>
        <v>322131.7</v>
      </c>
      <c r="F19" s="199">
        <f>J4</f>
        <v>34639</v>
      </c>
      <c r="G19" s="200">
        <f>L4</f>
        <v>0.34337793290672874</v>
      </c>
      <c r="H19" s="199">
        <f>M4</f>
        <v>6745</v>
      </c>
      <c r="I19" s="200">
        <f>O4</f>
        <v>0.19472271139467073</v>
      </c>
      <c r="J19" s="201">
        <f>E4/J4</f>
        <v>9.2996824388694819</v>
      </c>
      <c r="K19" s="201">
        <f>IF(Q4&lt;=0,"N/M",E4/Q4)</f>
        <v>86.108446939321041</v>
      </c>
      <c r="L19" s="201">
        <f>E4/M4</f>
        <v>47.75859154929578</v>
      </c>
      <c r="M19" s="201">
        <f>E4/R4</f>
        <v>35.34858992647866</v>
      </c>
      <c r="N19" s="201">
        <f>AE4</f>
        <v>5.7262384838115299</v>
      </c>
      <c r="O19" s="201">
        <f>AD4</f>
        <v>76.701149425287355</v>
      </c>
      <c r="P19" s="201">
        <f>AE4</f>
        <v>5.7262384838115299</v>
      </c>
      <c r="Q19" s="201">
        <f>AD4</f>
        <v>76.701149425287355</v>
      </c>
      <c r="R19" s="200">
        <f>Y4</f>
        <v>5.6352858591373525E-2</v>
      </c>
      <c r="S19" s="200">
        <f>X4</f>
        <v>7.6072650697551994E-2</v>
      </c>
      <c r="T19" s="199">
        <f>F4</f>
        <v>326309.7</v>
      </c>
      <c r="U19" s="199">
        <f>G4-I4</f>
        <v>-6546</v>
      </c>
      <c r="V19" s="201">
        <f>Z4</f>
        <v>0.5939214232765011</v>
      </c>
      <c r="W19" s="202">
        <f>(G4+H4)/R4</f>
        <v>0.69944035992538134</v>
      </c>
      <c r="AD19" s="180"/>
    </row>
    <row r="20" spans="2:30" x14ac:dyDescent="0.2">
      <c r="B20" s="156" t="s">
        <v>366</v>
      </c>
      <c r="C20" s="192"/>
      <c r="D20" s="192"/>
      <c r="E20" s="159">
        <f t="shared" ref="E20:W20" si="4">AVERAGE(E17:E19)</f>
        <v>1651300.7933333337</v>
      </c>
      <c r="F20" s="159">
        <f t="shared" si="4"/>
        <v>69806.666666666672</v>
      </c>
      <c r="G20" s="160">
        <f t="shared" si="4"/>
        <v>0.54066887997748048</v>
      </c>
      <c r="H20" s="159">
        <f t="shared" si="4"/>
        <v>34686</v>
      </c>
      <c r="I20" s="160">
        <f t="shared" si="4"/>
        <v>0.38307759232260302</v>
      </c>
      <c r="J20" s="161">
        <f t="shared" si="4"/>
        <v>15.693140809429805</v>
      </c>
      <c r="K20" s="161">
        <f t="shared" si="4"/>
        <v>51.152316322908966</v>
      </c>
      <c r="L20" s="161">
        <f t="shared" si="4"/>
        <v>37.487199357827215</v>
      </c>
      <c r="M20" s="161">
        <f t="shared" si="4"/>
        <v>32.765372578883984</v>
      </c>
      <c r="N20" s="161">
        <f t="shared" si="4"/>
        <v>42.69053835207928</v>
      </c>
      <c r="O20" s="161">
        <f t="shared" si="4"/>
        <v>55.584348544290727</v>
      </c>
      <c r="P20" s="161">
        <f t="shared" si="4"/>
        <v>42.69053835207928</v>
      </c>
      <c r="Q20" s="161">
        <f t="shared" si="4"/>
        <v>55.584348544290727</v>
      </c>
      <c r="R20" s="160">
        <f t="shared" si="4"/>
        <v>0.27329918687735621</v>
      </c>
      <c r="S20" s="160">
        <f t="shared" si="4"/>
        <v>0.80952466498500852</v>
      </c>
      <c r="T20" s="159">
        <f t="shared" si="4"/>
        <v>1660964.4600000002</v>
      </c>
      <c r="U20" s="159">
        <f t="shared" si="4"/>
        <v>-11332.666666666666</v>
      </c>
      <c r="V20" s="161">
        <f t="shared" si="4"/>
        <v>0.61162068734860509</v>
      </c>
      <c r="W20" s="161">
        <f t="shared" si="4"/>
        <v>0.65079646205926112</v>
      </c>
      <c r="AD20" s="180"/>
    </row>
    <row r="21" spans="2:30" x14ac:dyDescent="0.2">
      <c r="B21" s="162" t="s">
        <v>367</v>
      </c>
      <c r="C21" s="193"/>
      <c r="D21" s="193"/>
      <c r="E21" s="165">
        <f t="shared" ref="E21:W21" si="5">MEDIAN(E17:E19)</f>
        <v>322131.7</v>
      </c>
      <c r="F21" s="165">
        <f t="shared" si="5"/>
        <v>44284</v>
      </c>
      <c r="G21" s="166">
        <f t="shared" si="5"/>
        <v>0.34337793290672874</v>
      </c>
      <c r="H21" s="165">
        <f t="shared" si="5"/>
        <v>13996</v>
      </c>
      <c r="I21" s="166">
        <f t="shared" si="5"/>
        <v>0.3160509439075061</v>
      </c>
      <c r="J21" s="167">
        <f t="shared" si="5"/>
        <v>9.2996824388694819</v>
      </c>
      <c r="K21" s="167">
        <f t="shared" si="5"/>
        <v>54.982744404748757</v>
      </c>
      <c r="L21" s="167">
        <f t="shared" si="5"/>
        <v>47.75859154929578</v>
      </c>
      <c r="M21" s="167">
        <f t="shared" si="5"/>
        <v>35.34858992647866</v>
      </c>
      <c r="N21" s="167">
        <f t="shared" si="5"/>
        <v>17.416285409505747</v>
      </c>
      <c r="O21" s="167">
        <f t="shared" si="5"/>
        <v>62.666666666666671</v>
      </c>
      <c r="P21" s="167">
        <f t="shared" si="5"/>
        <v>17.416285409505747</v>
      </c>
      <c r="Q21" s="167">
        <f t="shared" si="5"/>
        <v>62.666666666666671</v>
      </c>
      <c r="R21" s="166">
        <f t="shared" si="5"/>
        <v>0.1105039586781804</v>
      </c>
      <c r="S21" s="166">
        <f t="shared" si="5"/>
        <v>0.65675002963138551</v>
      </c>
      <c r="T21" s="165">
        <f t="shared" si="5"/>
        <v>326309.7</v>
      </c>
      <c r="U21" s="165">
        <f t="shared" si="5"/>
        <v>-6546</v>
      </c>
      <c r="V21" s="167">
        <f t="shared" si="5"/>
        <v>0.5939214232765011</v>
      </c>
      <c r="W21" s="167">
        <f t="shared" si="5"/>
        <v>0.69944035992538134</v>
      </c>
      <c r="AD21" s="180"/>
    </row>
    <row r="22" spans="2:30" x14ac:dyDescent="0.2">
      <c r="B22" s="168"/>
      <c r="W22" s="194"/>
      <c r="AD22" s="180"/>
    </row>
    <row r="23" spans="2:30" ht="17" thickBot="1" x14ac:dyDescent="0.25">
      <c r="B23" s="172" t="s">
        <v>31</v>
      </c>
      <c r="C23" s="195"/>
      <c r="D23" s="195"/>
      <c r="E23" s="175">
        <f>E13</f>
        <v>1628995.5381674999</v>
      </c>
      <c r="F23" s="175">
        <f>J13</f>
        <v>63887</v>
      </c>
      <c r="G23" s="174">
        <f>L13</f>
        <v>0.23874432853763525</v>
      </c>
      <c r="H23" s="175">
        <f>M13</f>
        <v>34926</v>
      </c>
      <c r="I23" s="174">
        <f>O13</f>
        <v>0.54668398891793324</v>
      </c>
      <c r="J23" s="176">
        <f>E13/J13</f>
        <v>25.498075323109553</v>
      </c>
      <c r="K23" s="176">
        <f>IF(Q13&lt;=0,"N/M",E13/Q13)</f>
        <v>62.291902342835833</v>
      </c>
      <c r="L23" s="176">
        <f>E13/M13</f>
        <v>46.641342786677548</v>
      </c>
      <c r="M23" s="176">
        <f>E13/R13</f>
        <v>44.936568319977376</v>
      </c>
      <c r="N23" s="176">
        <f>AE13</f>
        <v>19.392726691033559</v>
      </c>
      <c r="O23" s="176">
        <f>AD13</f>
        <v>68.168880834017983</v>
      </c>
      <c r="P23" s="176">
        <f>AE13</f>
        <v>19.392726691033559</v>
      </c>
      <c r="Q23" s="176">
        <f>AD13</f>
        <v>68.168880834017983</v>
      </c>
      <c r="R23" s="177">
        <f>Y13</f>
        <v>0.13516704463095877</v>
      </c>
      <c r="S23" s="177">
        <f>X13</f>
        <v>0.2844806377011268</v>
      </c>
      <c r="T23" s="173">
        <f>F13</f>
        <v>1576473.5381674999</v>
      </c>
      <c r="U23" s="173">
        <f>G13-I13</f>
        <v>51197</v>
      </c>
      <c r="V23" s="176">
        <f>Z13</f>
        <v>1.8649716543549217</v>
      </c>
      <c r="W23" s="196">
        <f>(G13+H13)/R13</f>
        <v>1.8333563212049322</v>
      </c>
      <c r="AD23" s="180"/>
    </row>
    <row r="24" spans="2:30" x14ac:dyDescent="0.2">
      <c r="AD24" s="180"/>
    </row>
  </sheetData>
  <mergeCells count="1">
    <mergeCell ref="C13:D13"/>
  </mergeCells>
  <pageMargins left="0.75" right="0.75" top="1" bottom="1" header="0.5" footer="0.5"/>
  <pageSetup orientation="portrait" horizontalDpi="4294967292" verticalDpi="4294967292"/>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0F4F-EE06-D448-AA2F-0D8A3B96817D}">
  <dimension ref="B5:E50"/>
  <sheetViews>
    <sheetView tabSelected="1" topLeftCell="A17" workbookViewId="0">
      <selection activeCell="F48" sqref="F48"/>
    </sheetView>
  </sheetViews>
  <sheetFormatPr baseColWidth="10" defaultColWidth="11.5" defaultRowHeight="16" x14ac:dyDescent="0.2"/>
  <cols>
    <col min="1" max="16384" width="11.5" style="58"/>
  </cols>
  <sheetData>
    <row r="5" spans="2:5" x14ac:dyDescent="0.2">
      <c r="B5" s="57" t="s">
        <v>379</v>
      </c>
      <c r="C5" s="57"/>
      <c r="D5" s="57"/>
      <c r="E5" s="57"/>
    </row>
    <row r="7" spans="2:5" x14ac:dyDescent="0.2">
      <c r="B7" s="58" t="s">
        <v>380</v>
      </c>
    </row>
    <row r="8" spans="2:5" x14ac:dyDescent="0.2">
      <c r="B8" s="58" t="s">
        <v>381</v>
      </c>
      <c r="C8" s="58" t="s">
        <v>382</v>
      </c>
      <c r="D8" s="58" t="s">
        <v>383</v>
      </c>
      <c r="E8" s="58" t="s">
        <v>384</v>
      </c>
    </row>
    <row r="9" spans="2:5" x14ac:dyDescent="0.2">
      <c r="B9" s="58">
        <v>1</v>
      </c>
      <c r="C9" s="59">
        <v>31090</v>
      </c>
      <c r="D9" s="59">
        <v>1061355</v>
      </c>
      <c r="E9" s="60">
        <v>-2.8E-3</v>
      </c>
    </row>
    <row r="10" spans="2:5" x14ac:dyDescent="0.2">
      <c r="B10" s="58">
        <v>2</v>
      </c>
      <c r="C10" s="59">
        <v>13143</v>
      </c>
      <c r="D10" s="59">
        <v>30543</v>
      </c>
      <c r="E10" s="60">
        <v>5.0000000000000001E-3</v>
      </c>
    </row>
    <row r="11" spans="2:5" x14ac:dyDescent="0.2">
      <c r="B11" s="58">
        <v>3</v>
      </c>
      <c r="C11" s="59">
        <v>6619</v>
      </c>
      <c r="D11" s="59">
        <v>13100</v>
      </c>
      <c r="E11" s="60">
        <v>7.3000000000000001E-3</v>
      </c>
    </row>
    <row r="12" spans="2:5" x14ac:dyDescent="0.2">
      <c r="B12" s="58">
        <v>4</v>
      </c>
      <c r="C12" s="59">
        <v>4313</v>
      </c>
      <c r="D12" s="59">
        <v>6615</v>
      </c>
      <c r="E12" s="60">
        <v>7.9000000000000008E-3</v>
      </c>
    </row>
    <row r="13" spans="2:5" x14ac:dyDescent="0.2">
      <c r="B13" s="58">
        <v>5</v>
      </c>
      <c r="C13" s="59">
        <v>2689</v>
      </c>
      <c r="D13" s="59">
        <v>4311</v>
      </c>
      <c r="E13" s="60">
        <v>1.0999999999999999E-2</v>
      </c>
    </row>
    <row r="14" spans="2:5" x14ac:dyDescent="0.2">
      <c r="B14" s="58">
        <v>6</v>
      </c>
      <c r="C14" s="59">
        <v>1670</v>
      </c>
      <c r="D14" s="59">
        <v>2686</v>
      </c>
      <c r="E14" s="60">
        <v>1.34E-2</v>
      </c>
    </row>
    <row r="15" spans="2:5" x14ac:dyDescent="0.2">
      <c r="B15" s="58">
        <v>7</v>
      </c>
      <c r="C15" s="59">
        <v>994</v>
      </c>
      <c r="D15" s="59">
        <v>1668</v>
      </c>
      <c r="E15" s="60">
        <v>1.47E-2</v>
      </c>
    </row>
    <row r="16" spans="2:5" x14ac:dyDescent="0.2">
      <c r="B16" s="58">
        <v>8</v>
      </c>
      <c r="C16" s="59">
        <v>516</v>
      </c>
      <c r="D16" s="59">
        <v>993</v>
      </c>
      <c r="E16" s="60">
        <v>1.5900000000000001E-2</v>
      </c>
    </row>
    <row r="17" spans="2:5" x14ac:dyDescent="0.2">
      <c r="B17" s="58">
        <v>9</v>
      </c>
      <c r="C17" s="59">
        <v>230</v>
      </c>
      <c r="D17" s="59">
        <v>515</v>
      </c>
      <c r="E17" s="60">
        <v>2.2200000000000001E-2</v>
      </c>
    </row>
    <row r="18" spans="2:5" x14ac:dyDescent="0.2">
      <c r="B18" s="61" t="s">
        <v>385</v>
      </c>
      <c r="C18" s="59">
        <v>181</v>
      </c>
      <c r="D18" s="59">
        <v>229</v>
      </c>
      <c r="E18" s="60">
        <v>2.69E-2</v>
      </c>
    </row>
    <row r="19" spans="2:5" x14ac:dyDescent="0.2">
      <c r="B19" s="61" t="s">
        <v>386</v>
      </c>
      <c r="C19" s="59">
        <v>121</v>
      </c>
      <c r="D19" s="59">
        <v>181</v>
      </c>
      <c r="E19" s="60">
        <v>4.4200000000000003E-2</v>
      </c>
    </row>
    <row r="20" spans="2:5" x14ac:dyDescent="0.2">
      <c r="B20" s="61" t="s">
        <v>387</v>
      </c>
      <c r="C20" s="59">
        <v>63</v>
      </c>
      <c r="D20" s="59">
        <v>120</v>
      </c>
      <c r="E20" s="60">
        <v>6.6199999999999995E-2</v>
      </c>
    </row>
    <row r="21" spans="2:5" x14ac:dyDescent="0.2">
      <c r="B21" s="61" t="s">
        <v>388</v>
      </c>
      <c r="C21" s="59">
        <v>2</v>
      </c>
      <c r="D21" s="59">
        <v>62</v>
      </c>
      <c r="E21" s="60">
        <v>0.1091</v>
      </c>
    </row>
    <row r="23" spans="2:5" x14ac:dyDescent="0.2">
      <c r="B23" s="62" t="s">
        <v>389</v>
      </c>
    </row>
    <row r="27" spans="2:5" ht="41.25" customHeight="1" x14ac:dyDescent="0.2"/>
    <row r="28" spans="2:5" ht="41.25" customHeight="1" x14ac:dyDescent="0.2"/>
    <row r="29" spans="2:5" ht="41.25" customHeight="1" x14ac:dyDescent="0.2"/>
    <row r="30" spans="2:5" x14ac:dyDescent="0.2">
      <c r="C30" s="63" t="s">
        <v>390</v>
      </c>
      <c r="D30" s="63" t="s">
        <v>391</v>
      </c>
      <c r="E30" s="63" t="s">
        <v>392</v>
      </c>
    </row>
    <row r="31" spans="2:5" x14ac:dyDescent="0.2">
      <c r="C31" s="64">
        <v>45510</v>
      </c>
      <c r="D31" s="60">
        <v>3.5000000000000003E-2</v>
      </c>
      <c r="E31" s="60">
        <v>0.05</v>
      </c>
    </row>
    <row r="32" spans="2:5" x14ac:dyDescent="0.2">
      <c r="C32" s="75">
        <v>45187</v>
      </c>
      <c r="D32" s="56">
        <v>3.5000000000000003E-2</v>
      </c>
      <c r="E32" s="56">
        <v>5.5E-2</v>
      </c>
    </row>
    <row r="33" spans="3:5" x14ac:dyDescent="0.2">
      <c r="C33" s="75">
        <v>44658</v>
      </c>
      <c r="D33" s="56">
        <v>3.5000000000000003E-2</v>
      </c>
      <c r="E33" s="56">
        <v>5.5E-2</v>
      </c>
    </row>
    <row r="34" spans="3:5" x14ac:dyDescent="0.2">
      <c r="C34" s="75">
        <v>44560</v>
      </c>
      <c r="D34" s="56">
        <v>0.03</v>
      </c>
      <c r="E34" s="56">
        <v>5.5E-2</v>
      </c>
    </row>
    <row r="35" spans="3:5" x14ac:dyDescent="0.2">
      <c r="C35" s="55">
        <v>44174</v>
      </c>
      <c r="D35" s="56">
        <v>2.5000000000000001E-2</v>
      </c>
      <c r="E35" s="56">
        <v>5.5E-2</v>
      </c>
    </row>
    <row r="36" spans="3:5" x14ac:dyDescent="0.2">
      <c r="C36" s="55">
        <v>44012</v>
      </c>
      <c r="D36" s="56">
        <v>2.5000000000000001E-2</v>
      </c>
      <c r="E36" s="56">
        <v>0.06</v>
      </c>
    </row>
    <row r="37" spans="3:5" x14ac:dyDescent="0.2">
      <c r="C37" s="55">
        <v>43915</v>
      </c>
      <c r="D37" s="56">
        <v>0.03</v>
      </c>
      <c r="E37" s="56">
        <v>0.06</v>
      </c>
    </row>
    <row r="38" spans="3:5" x14ac:dyDescent="0.2">
      <c r="C38" s="55">
        <v>43818</v>
      </c>
      <c r="D38" s="56">
        <v>0.03</v>
      </c>
      <c r="E38" s="56">
        <v>0.05</v>
      </c>
    </row>
    <row r="39" spans="3:5" x14ac:dyDescent="0.2">
      <c r="C39" s="55">
        <v>43738</v>
      </c>
      <c r="D39" s="56">
        <v>0.03</v>
      </c>
      <c r="E39" s="56">
        <v>5.5E-2</v>
      </c>
    </row>
    <row r="40" spans="3:5" x14ac:dyDescent="0.2">
      <c r="C40" s="55">
        <v>43465</v>
      </c>
      <c r="D40" s="56">
        <v>3.5000000000000003E-2</v>
      </c>
      <c r="E40" s="56">
        <v>5.5E-2</v>
      </c>
    </row>
    <row r="41" spans="3:5" x14ac:dyDescent="0.2">
      <c r="C41" s="55">
        <v>42983</v>
      </c>
      <c r="D41" s="56">
        <v>3.5000000000000003E-2</v>
      </c>
      <c r="E41" s="56">
        <v>0.05</v>
      </c>
    </row>
    <row r="42" spans="3:5" x14ac:dyDescent="0.2">
      <c r="C42" s="55">
        <v>42689</v>
      </c>
      <c r="D42" s="56">
        <v>3.5000000000000003E-2</v>
      </c>
      <c r="E42" s="56">
        <v>5.5E-2</v>
      </c>
    </row>
    <row r="43" spans="3:5" x14ac:dyDescent="0.2">
      <c r="C43" s="55">
        <v>42400</v>
      </c>
      <c r="D43" s="56">
        <v>0.04</v>
      </c>
      <c r="E43" s="56">
        <v>5.5E-2</v>
      </c>
    </row>
    <row r="44" spans="3:5" x14ac:dyDescent="0.2">
      <c r="C44" s="55">
        <v>42035</v>
      </c>
      <c r="D44" s="56">
        <v>0.04</v>
      </c>
      <c r="E44" s="56">
        <v>0.05</v>
      </c>
    </row>
    <row r="45" spans="3:5" x14ac:dyDescent="0.2">
      <c r="C45" s="55">
        <v>42004</v>
      </c>
      <c r="D45" s="56">
        <v>0.04</v>
      </c>
      <c r="E45" s="56">
        <v>0.05</v>
      </c>
    </row>
    <row r="46" spans="3:5" x14ac:dyDescent="0.2">
      <c r="C46" s="55">
        <v>41639</v>
      </c>
      <c r="D46" s="56">
        <v>0.04</v>
      </c>
      <c r="E46" s="56">
        <v>0.05</v>
      </c>
    </row>
    <row r="47" spans="3:5" x14ac:dyDescent="0.2">
      <c r="C47" s="55">
        <v>41274</v>
      </c>
      <c r="D47" s="56">
        <v>0.04</v>
      </c>
      <c r="E47" s="56">
        <v>5.5E-2</v>
      </c>
    </row>
    <row r="48" spans="3:5" x14ac:dyDescent="0.2">
      <c r="C48"/>
      <c r="D48"/>
      <c r="E48"/>
    </row>
    <row r="49" spans="3:5" x14ac:dyDescent="0.2">
      <c r="C49" t="s">
        <v>393</v>
      </c>
      <c r="D49"/>
      <c r="E49"/>
    </row>
    <row r="50" spans="3:5" x14ac:dyDescent="0.2">
      <c r="C50" t="s">
        <v>394</v>
      </c>
      <c r="D50"/>
      <c r="E50"/>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FFEAE-9E37-7C4D-96AC-D361F26FC4D9}">
  <dimension ref="B2:G21"/>
  <sheetViews>
    <sheetView workbookViewId="0">
      <selection activeCell="B3" sqref="B3"/>
    </sheetView>
  </sheetViews>
  <sheetFormatPr baseColWidth="10" defaultRowHeight="16" x14ac:dyDescent="0.2"/>
  <cols>
    <col min="2" max="2" width="28" customWidth="1"/>
  </cols>
  <sheetData>
    <row r="2" spans="2:7" x14ac:dyDescent="0.2">
      <c r="B2" s="582" t="s">
        <v>544</v>
      </c>
      <c r="C2" s="583">
        <v>0.02</v>
      </c>
      <c r="D2" s="583">
        <v>2.5000000000000001E-2</v>
      </c>
      <c r="E2" s="583">
        <v>0.03</v>
      </c>
      <c r="F2" s="583">
        <v>3.5000000000000003E-2</v>
      </c>
      <c r="G2" s="583">
        <v>0.04</v>
      </c>
    </row>
    <row r="3" spans="2:7" x14ac:dyDescent="0.2">
      <c r="B3" s="583">
        <v>0.08</v>
      </c>
      <c r="C3" s="584">
        <v>406.41</v>
      </c>
      <c r="D3" s="584">
        <v>408.57</v>
      </c>
      <c r="E3" s="584">
        <v>411.07</v>
      </c>
      <c r="F3" s="584">
        <v>414.03</v>
      </c>
      <c r="G3" s="584">
        <v>417.56</v>
      </c>
    </row>
    <row r="4" spans="2:7" x14ac:dyDescent="0.2">
      <c r="B4" s="583">
        <v>8.5000000000000006E-2</v>
      </c>
      <c r="C4" s="584">
        <v>403.85</v>
      </c>
      <c r="D4" s="584">
        <v>405.91</v>
      </c>
      <c r="E4" s="584">
        <v>408.3</v>
      </c>
      <c r="F4" s="584">
        <v>411.12</v>
      </c>
      <c r="G4" s="584">
        <v>414.49</v>
      </c>
    </row>
    <row r="5" spans="2:7" x14ac:dyDescent="0.2">
      <c r="B5" s="583">
        <v>0.09</v>
      </c>
      <c r="C5" s="584">
        <v>401.4</v>
      </c>
      <c r="D5" s="584">
        <v>403.36</v>
      </c>
      <c r="E5" s="584">
        <v>405.65</v>
      </c>
      <c r="F5" s="584">
        <v>408.34</v>
      </c>
      <c r="G5" s="584">
        <v>411.56</v>
      </c>
    </row>
    <row r="6" spans="2:7" x14ac:dyDescent="0.2">
      <c r="B6" s="583">
        <v>9.5000000000000001E-2</v>
      </c>
      <c r="C6" s="584">
        <v>399.05</v>
      </c>
      <c r="D6" s="584">
        <v>400.92</v>
      </c>
      <c r="E6" s="584">
        <v>403.11</v>
      </c>
      <c r="F6" s="584">
        <v>405.68</v>
      </c>
      <c r="G6" s="584">
        <v>408.76</v>
      </c>
    </row>
    <row r="7" spans="2:7" x14ac:dyDescent="0.2">
      <c r="B7" s="583">
        <v>0.1</v>
      </c>
      <c r="C7" s="584">
        <v>396.79</v>
      </c>
      <c r="D7" s="584">
        <v>398.59</v>
      </c>
      <c r="E7" s="584">
        <v>400.67</v>
      </c>
      <c r="F7" s="584">
        <v>403.13</v>
      </c>
      <c r="G7" s="584">
        <v>406.07</v>
      </c>
    </row>
    <row r="10" spans="2:7" x14ac:dyDescent="0.2">
      <c r="B10" s="294" t="s">
        <v>543</v>
      </c>
      <c r="C10" s="294" t="s">
        <v>538</v>
      </c>
      <c r="D10" s="294" t="s">
        <v>539</v>
      </c>
      <c r="E10" s="294" t="s">
        <v>542</v>
      </c>
      <c r="F10" s="294" t="s">
        <v>540</v>
      </c>
      <c r="G10" s="294" t="s">
        <v>541</v>
      </c>
    </row>
    <row r="11" spans="2:7" x14ac:dyDescent="0.2">
      <c r="B11" s="583">
        <v>0.08</v>
      </c>
      <c r="C11">
        <v>391.7</v>
      </c>
      <c r="D11">
        <v>399.13</v>
      </c>
      <c r="E11">
        <v>406.41</v>
      </c>
      <c r="F11">
        <v>414</v>
      </c>
      <c r="G11">
        <v>421.44</v>
      </c>
    </row>
    <row r="12" spans="2:7" x14ac:dyDescent="0.2">
      <c r="B12" s="583">
        <v>8.5000000000000006E-2</v>
      </c>
      <c r="C12">
        <v>389.14</v>
      </c>
      <c r="D12">
        <v>396.57</v>
      </c>
      <c r="E12">
        <v>403.85</v>
      </c>
      <c r="F12">
        <v>411.44</v>
      </c>
      <c r="G12">
        <v>418.88</v>
      </c>
    </row>
    <row r="13" spans="2:7" x14ac:dyDescent="0.2">
      <c r="B13" s="583">
        <v>0.09</v>
      </c>
      <c r="C13">
        <v>386.68</v>
      </c>
      <c r="D13">
        <v>394.11</v>
      </c>
      <c r="E13">
        <v>401.4</v>
      </c>
      <c r="F13">
        <v>408.99</v>
      </c>
      <c r="G13">
        <v>416.43</v>
      </c>
    </row>
    <row r="14" spans="2:7" x14ac:dyDescent="0.2">
      <c r="B14" s="583">
        <v>9.5000000000000001E-2</v>
      </c>
      <c r="C14">
        <v>384.33</v>
      </c>
      <c r="D14">
        <v>391.76</v>
      </c>
      <c r="E14">
        <v>399.49</v>
      </c>
      <c r="F14">
        <v>406.64</v>
      </c>
      <c r="G14">
        <v>414.08</v>
      </c>
    </row>
    <row r="15" spans="2:7" ht="17" thickBot="1" x14ac:dyDescent="0.25">
      <c r="B15" s="583">
        <v>0.1</v>
      </c>
      <c r="C15">
        <v>383.07</v>
      </c>
      <c r="D15">
        <v>389.51</v>
      </c>
      <c r="E15">
        <v>396.79</v>
      </c>
      <c r="F15">
        <v>404.39</v>
      </c>
      <c r="G15">
        <v>411.83</v>
      </c>
    </row>
    <row r="16" spans="2:7" ht="17" thickBot="1" x14ac:dyDescent="0.25">
      <c r="B16" s="596" t="s">
        <v>543</v>
      </c>
      <c r="C16" s="597" t="s">
        <v>538</v>
      </c>
      <c r="D16" s="597" t="s">
        <v>539</v>
      </c>
      <c r="E16" s="597" t="s">
        <v>542</v>
      </c>
      <c r="F16" s="597" t="s">
        <v>540</v>
      </c>
      <c r="G16" s="598" t="s">
        <v>541</v>
      </c>
    </row>
    <row r="17" spans="2:7" x14ac:dyDescent="0.2">
      <c r="B17" s="594">
        <v>0.08</v>
      </c>
      <c r="C17" s="590">
        <f>C11+4</f>
        <v>395.7</v>
      </c>
      <c r="D17" s="590">
        <f t="shared" ref="D17:G17" si="0">D11+4</f>
        <v>403.13</v>
      </c>
      <c r="E17" s="590">
        <f t="shared" si="0"/>
        <v>410.41</v>
      </c>
      <c r="F17" s="590">
        <f t="shared" si="0"/>
        <v>418</v>
      </c>
      <c r="G17" s="591">
        <f t="shared" si="0"/>
        <v>425.44</v>
      </c>
    </row>
    <row r="18" spans="2:7" x14ac:dyDescent="0.2">
      <c r="B18" s="594">
        <v>8.5000000000000006E-2</v>
      </c>
      <c r="C18" s="590">
        <f>C12+4</f>
        <v>393.14</v>
      </c>
      <c r="D18" s="590">
        <f t="shared" ref="D18:G18" si="1">D12+4</f>
        <v>400.57</v>
      </c>
      <c r="E18" s="590">
        <f t="shared" si="1"/>
        <v>407.85</v>
      </c>
      <c r="F18" s="590">
        <f t="shared" si="1"/>
        <v>415.44</v>
      </c>
      <c r="G18" s="591">
        <f t="shared" si="1"/>
        <v>422.88</v>
      </c>
    </row>
    <row r="19" spans="2:7" x14ac:dyDescent="0.2">
      <c r="B19" s="594">
        <v>0.09</v>
      </c>
      <c r="C19" s="590">
        <f>C13+4</f>
        <v>390.68</v>
      </c>
      <c r="D19" s="590">
        <f t="shared" ref="D19:G19" si="2">D13+4</f>
        <v>398.11</v>
      </c>
      <c r="E19" s="590">
        <f t="shared" si="2"/>
        <v>405.4</v>
      </c>
      <c r="F19" s="590">
        <f t="shared" si="2"/>
        <v>412.99</v>
      </c>
      <c r="G19" s="591">
        <f t="shared" si="2"/>
        <v>420.43</v>
      </c>
    </row>
    <row r="20" spans="2:7" x14ac:dyDescent="0.2">
      <c r="B20" s="594">
        <v>9.5000000000000001E-2</v>
      </c>
      <c r="C20" s="590">
        <f>C14+4</f>
        <v>388.33</v>
      </c>
      <c r="D20" s="590">
        <f t="shared" ref="D20:G20" si="3">D14+4</f>
        <v>395.76</v>
      </c>
      <c r="E20" s="590">
        <f t="shared" si="3"/>
        <v>403.49</v>
      </c>
      <c r="F20" s="590">
        <f t="shared" si="3"/>
        <v>410.64</v>
      </c>
      <c r="G20" s="591">
        <f t="shared" si="3"/>
        <v>418.08</v>
      </c>
    </row>
    <row r="21" spans="2:7" ht="17" thickBot="1" x14ac:dyDescent="0.25">
      <c r="B21" s="595">
        <v>0.1</v>
      </c>
      <c r="C21" s="592">
        <f>C15+4</f>
        <v>387.07</v>
      </c>
      <c r="D21" s="592">
        <f t="shared" ref="D21:G21" si="4">D15+4</f>
        <v>393.51</v>
      </c>
      <c r="E21" s="592">
        <f t="shared" si="4"/>
        <v>400.79</v>
      </c>
      <c r="F21" s="592">
        <f t="shared" si="4"/>
        <v>408.39</v>
      </c>
      <c r="G21" s="593">
        <f t="shared" si="4"/>
        <v>415.83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F9FC6-BCF3-724B-945D-B0F1451D7DCE}">
  <dimension ref="B2:AG32"/>
  <sheetViews>
    <sheetView showGridLines="0" topLeftCell="A18" zoomScale="72" zoomScaleNormal="72" workbookViewId="0">
      <selection activeCell="D34" sqref="D34"/>
    </sheetView>
  </sheetViews>
  <sheetFormatPr baseColWidth="10" defaultRowHeight="29" customHeight="1" x14ac:dyDescent="0.2"/>
  <cols>
    <col min="2" max="2" width="30.33203125" customWidth="1"/>
    <col min="3" max="3" width="18.1640625" customWidth="1"/>
    <col min="4" max="4" width="15.5" customWidth="1"/>
    <col min="5" max="5" width="12.33203125" customWidth="1"/>
    <col min="6" max="6" width="14.83203125" customWidth="1"/>
    <col min="9" max="9" width="18.83203125" customWidth="1"/>
    <col min="10" max="14" width="10.83203125" customWidth="1"/>
  </cols>
  <sheetData>
    <row r="2" spans="2:33" ht="40" customHeight="1" x14ac:dyDescent="0.2">
      <c r="B2" s="553" t="s">
        <v>493</v>
      </c>
      <c r="C2" s="553" t="s">
        <v>494</v>
      </c>
      <c r="D2" s="553" t="s">
        <v>495</v>
      </c>
      <c r="E2" s="553" t="s">
        <v>406</v>
      </c>
      <c r="I2" s="565" t="s">
        <v>499</v>
      </c>
      <c r="J2" s="553" t="s">
        <v>500</v>
      </c>
      <c r="K2" s="553" t="s">
        <v>501</v>
      </c>
      <c r="L2" s="553" t="s">
        <v>502</v>
      </c>
      <c r="M2" s="553" t="s">
        <v>503</v>
      </c>
    </row>
    <row r="3" spans="2:33" ht="40" customHeight="1" x14ac:dyDescent="0.2">
      <c r="B3" s="554" t="s">
        <v>536</v>
      </c>
      <c r="C3" s="555">
        <v>598.33000000000004</v>
      </c>
      <c r="D3" s="556">
        <v>0.79900000000000004</v>
      </c>
      <c r="E3" s="557">
        <v>0.35</v>
      </c>
      <c r="I3" s="554" t="s">
        <v>504</v>
      </c>
      <c r="J3" s="566" t="s">
        <v>505</v>
      </c>
      <c r="K3" s="566" t="s">
        <v>506</v>
      </c>
      <c r="L3" s="566" t="s">
        <v>507</v>
      </c>
      <c r="M3" s="556">
        <v>0.70199999999999996</v>
      </c>
    </row>
    <row r="4" spans="2:33" ht="40" customHeight="1" x14ac:dyDescent="0.2">
      <c r="B4" s="558" t="s">
        <v>496</v>
      </c>
      <c r="C4" s="559">
        <v>341.01</v>
      </c>
      <c r="D4" s="560">
        <v>2.5999999999999999E-2</v>
      </c>
      <c r="E4" s="561">
        <v>0.35</v>
      </c>
      <c r="I4" s="558" t="s">
        <v>508</v>
      </c>
      <c r="J4" s="567" t="s">
        <v>509</v>
      </c>
      <c r="K4" s="567" t="s">
        <v>510</v>
      </c>
      <c r="L4" s="567" t="s">
        <v>511</v>
      </c>
      <c r="M4" s="560">
        <v>0.29799999999999999</v>
      </c>
    </row>
    <row r="5" spans="2:33" ht="40" customHeight="1" x14ac:dyDescent="0.2">
      <c r="B5" s="554" t="s">
        <v>537</v>
      </c>
      <c r="C5" s="555">
        <v>220.51</v>
      </c>
      <c r="D5" s="556">
        <v>-0.33700000000000002</v>
      </c>
      <c r="E5" s="557">
        <v>0.2</v>
      </c>
      <c r="I5" s="554" t="s">
        <v>33</v>
      </c>
      <c r="J5" s="568" t="s">
        <v>512</v>
      </c>
      <c r="K5" s="568" t="s">
        <v>513</v>
      </c>
      <c r="L5" s="568" t="s">
        <v>514</v>
      </c>
      <c r="M5" s="563">
        <v>1</v>
      </c>
    </row>
    <row r="6" spans="2:33" ht="40" customHeight="1" x14ac:dyDescent="0.2">
      <c r="B6" s="558" t="s">
        <v>497</v>
      </c>
      <c r="C6" s="559">
        <v>321.83999999999997</v>
      </c>
      <c r="D6" s="560">
        <v>-3.2000000000000001E-2</v>
      </c>
      <c r="E6" s="561">
        <v>0.1</v>
      </c>
    </row>
    <row r="7" spans="2:33" ht="40" customHeight="1" x14ac:dyDescent="0.2">
      <c r="B7" s="554" t="s">
        <v>498</v>
      </c>
      <c r="C7" s="562">
        <v>405.06</v>
      </c>
      <c r="D7" s="563">
        <v>0.218</v>
      </c>
      <c r="E7" s="564">
        <v>1</v>
      </c>
      <c r="U7" s="579"/>
      <c r="V7" s="579"/>
      <c r="W7" s="579"/>
      <c r="X7" s="579"/>
      <c r="Y7" s="579"/>
      <c r="Z7" s="579"/>
      <c r="AA7" s="579"/>
      <c r="AB7" s="579"/>
      <c r="AC7" s="579"/>
      <c r="AD7" s="579"/>
      <c r="AE7" s="579"/>
      <c r="AF7" s="579"/>
      <c r="AG7" s="579"/>
    </row>
    <row r="9" spans="2:33" ht="29" customHeight="1" thickBot="1" x14ac:dyDescent="0.25"/>
    <row r="10" spans="2:33" ht="44" customHeight="1" thickBot="1" x14ac:dyDescent="0.25">
      <c r="B10" s="565" t="s">
        <v>515</v>
      </c>
      <c r="C10" s="553" t="s">
        <v>500</v>
      </c>
      <c r="D10" s="553" t="s">
        <v>501</v>
      </c>
      <c r="E10" s="553" t="s">
        <v>502</v>
      </c>
      <c r="F10" s="553" t="s">
        <v>516</v>
      </c>
      <c r="I10" s="599" t="str">
        <f>'Sensitivity Analysis'!B16</f>
        <v>WACC / EMM Multiplier</v>
      </c>
      <c r="J10" s="600" t="str">
        <f>'Sensitivity Analysis'!C16</f>
        <v>43.8x</v>
      </c>
      <c r="K10" s="600" t="str">
        <f>'Sensitivity Analysis'!D16</f>
        <v>45.8x</v>
      </c>
      <c r="L10" s="600" t="str">
        <f>'Sensitivity Analysis'!E16</f>
        <v>47.8x</v>
      </c>
      <c r="M10" s="600" t="str">
        <f>'Sensitivity Analysis'!F16</f>
        <v>49.8x</v>
      </c>
      <c r="N10" s="601" t="str">
        <f>'Sensitivity Analysis'!G16</f>
        <v>51.8x</v>
      </c>
      <c r="Q10" s="553"/>
    </row>
    <row r="11" spans="2:33" ht="44" customHeight="1" x14ac:dyDescent="0.2">
      <c r="B11" s="554" t="s">
        <v>23</v>
      </c>
      <c r="C11" s="556">
        <v>0.70499999999999996</v>
      </c>
      <c r="D11" s="556">
        <v>0.72299999999999998</v>
      </c>
      <c r="E11" s="556">
        <v>0.73499999999999999</v>
      </c>
      <c r="F11" s="556">
        <v>0.73</v>
      </c>
      <c r="I11" s="602">
        <f>'Sensitivity Analysis'!B17</f>
        <v>0.08</v>
      </c>
      <c r="J11" s="603">
        <f>'Sensitivity Analysis'!C17</f>
        <v>395.7</v>
      </c>
      <c r="K11" s="603">
        <f>'Sensitivity Analysis'!D17</f>
        <v>403.13</v>
      </c>
      <c r="L11" s="603">
        <f>'Sensitivity Analysis'!E17</f>
        <v>410.41</v>
      </c>
      <c r="M11" s="603">
        <f>'Sensitivity Analysis'!F17</f>
        <v>418</v>
      </c>
      <c r="N11" s="604">
        <f>'Sensitivity Analysis'!G17</f>
        <v>425.44</v>
      </c>
    </row>
    <row r="12" spans="2:33" ht="44" customHeight="1" x14ac:dyDescent="0.2">
      <c r="B12" s="558" t="s">
        <v>517</v>
      </c>
      <c r="C12" s="560">
        <v>0.92600000000000005</v>
      </c>
      <c r="D12" s="560">
        <v>0.85299999999999998</v>
      </c>
      <c r="E12" s="560">
        <v>0.90800000000000003</v>
      </c>
      <c r="F12" s="560">
        <v>0.89500000000000002</v>
      </c>
      <c r="I12" s="602">
        <f>'Sensitivity Analysis'!B18</f>
        <v>8.5000000000000006E-2</v>
      </c>
      <c r="J12" s="605">
        <f>'Sensitivity Analysis'!C18</f>
        <v>393.14</v>
      </c>
      <c r="K12" s="605">
        <f>'Sensitivity Analysis'!D18</f>
        <v>400.57</v>
      </c>
      <c r="L12" s="605">
        <f>'Sensitivity Analysis'!E18</f>
        <v>407.85</v>
      </c>
      <c r="M12" s="605">
        <f>'Sensitivity Analysis'!F18</f>
        <v>415.44</v>
      </c>
      <c r="N12" s="606">
        <f>'Sensitivity Analysis'!G18</f>
        <v>422.88</v>
      </c>
      <c r="T12" t="s">
        <v>535</v>
      </c>
    </row>
    <row r="13" spans="2:33" ht="44" customHeight="1" x14ac:dyDescent="0.2">
      <c r="B13" s="554" t="s">
        <v>518</v>
      </c>
      <c r="C13" s="556">
        <v>0.747</v>
      </c>
      <c r="D13" s="556">
        <v>0.76500000000000001</v>
      </c>
      <c r="E13" s="556">
        <v>0.78600000000000003</v>
      </c>
      <c r="F13" s="556">
        <v>0.77</v>
      </c>
      <c r="I13" s="602">
        <f>'Sensitivity Analysis'!B19</f>
        <v>0.09</v>
      </c>
      <c r="J13" s="607">
        <f>'Sensitivity Analysis'!C19</f>
        <v>390.68</v>
      </c>
      <c r="K13" s="607">
        <f>'Sensitivity Analysis'!D19</f>
        <v>398.11</v>
      </c>
      <c r="L13" s="607">
        <f>'Sensitivity Analysis'!E19</f>
        <v>405.4</v>
      </c>
      <c r="M13" s="607">
        <f>'Sensitivity Analysis'!F19</f>
        <v>412.99</v>
      </c>
      <c r="N13" s="608">
        <f>'Sensitivity Analysis'!G19</f>
        <v>420.43</v>
      </c>
      <c r="T13" t="s">
        <v>43</v>
      </c>
      <c r="U13" s="294"/>
      <c r="V13" s="294"/>
      <c r="W13" s="294"/>
      <c r="X13" s="294"/>
    </row>
    <row r="14" spans="2:33" ht="44" customHeight="1" x14ac:dyDescent="0.2">
      <c r="B14" s="558" t="s">
        <v>519</v>
      </c>
      <c r="C14" s="560">
        <v>0.56599999999999995</v>
      </c>
      <c r="D14" s="560">
        <v>0.49</v>
      </c>
      <c r="E14" s="560">
        <v>0.54700000000000004</v>
      </c>
      <c r="F14" s="560">
        <v>0.52700000000000002</v>
      </c>
      <c r="I14" s="602">
        <f>'Sensitivity Analysis'!B20</f>
        <v>9.5000000000000001E-2</v>
      </c>
      <c r="J14" s="605">
        <f>'Sensitivity Analysis'!C20</f>
        <v>388.33</v>
      </c>
      <c r="K14" s="605">
        <f>'Sensitivity Analysis'!D20</f>
        <v>395.76</v>
      </c>
      <c r="L14" s="605">
        <f>'Sensitivity Analysis'!E20</f>
        <v>403.49</v>
      </c>
      <c r="M14" s="605">
        <f>'Sensitivity Analysis'!F20</f>
        <v>410.64</v>
      </c>
      <c r="N14" s="606">
        <f>'Sensitivity Analysis'!G20</f>
        <v>418.08</v>
      </c>
    </row>
    <row r="15" spans="2:33" ht="44" customHeight="1" thickBot="1" x14ac:dyDescent="0.25">
      <c r="B15" s="554" t="s">
        <v>520</v>
      </c>
      <c r="C15" s="556">
        <v>0.39300000000000002</v>
      </c>
      <c r="D15" s="556">
        <v>0.114</v>
      </c>
      <c r="E15" s="556">
        <v>0.36199999999999999</v>
      </c>
      <c r="F15" s="556">
        <v>0.33200000000000002</v>
      </c>
      <c r="I15" s="609">
        <f>'Sensitivity Analysis'!B21</f>
        <v>0.1</v>
      </c>
      <c r="J15" s="610">
        <f>'Sensitivity Analysis'!C21</f>
        <v>387.07</v>
      </c>
      <c r="K15" s="610">
        <f>'Sensitivity Analysis'!D21</f>
        <v>393.51</v>
      </c>
      <c r="L15" s="610">
        <f>'Sensitivity Analysis'!E21</f>
        <v>400.79</v>
      </c>
      <c r="M15" s="610">
        <f>'Sensitivity Analysis'!F21</f>
        <v>408.39</v>
      </c>
      <c r="N15" s="611">
        <f>'Sensitivity Analysis'!G21</f>
        <v>415.83</v>
      </c>
    </row>
    <row r="16" spans="2:33" ht="44" customHeight="1" thickBot="1" x14ac:dyDescent="0.25"/>
    <row r="17" spans="2:15" ht="44" customHeight="1" thickBot="1" x14ac:dyDescent="0.25">
      <c r="I17" s="612" t="str">
        <f>'Sensitivity Analysis'!B2</f>
        <v>WACC / Terminal Growth</v>
      </c>
      <c r="J17" s="613">
        <f>'Sensitivity Analysis'!C2</f>
        <v>0.02</v>
      </c>
      <c r="K17" s="613">
        <f>'Sensitivity Analysis'!D2</f>
        <v>2.5000000000000001E-2</v>
      </c>
      <c r="L17" s="613">
        <f>'Sensitivity Analysis'!E2</f>
        <v>0.03</v>
      </c>
      <c r="M17" s="613">
        <f>'Sensitivity Analysis'!F2</f>
        <v>3.5000000000000003E-2</v>
      </c>
      <c r="N17" s="614">
        <f>'Sensitivity Analysis'!G2</f>
        <v>0.04</v>
      </c>
    </row>
    <row r="18" spans="2:15" ht="44" customHeight="1" x14ac:dyDescent="0.2">
      <c r="I18" s="615">
        <v>0.08</v>
      </c>
      <c r="J18" s="616">
        <f>'Sensitivity Analysis'!C3</f>
        <v>406.41</v>
      </c>
      <c r="K18" s="616">
        <f>'Sensitivity Analysis'!D3</f>
        <v>408.57</v>
      </c>
      <c r="L18" s="616">
        <f>'Sensitivity Analysis'!E3</f>
        <v>411.07</v>
      </c>
      <c r="M18" s="616">
        <f>'Sensitivity Analysis'!F3</f>
        <v>414.03</v>
      </c>
      <c r="N18" s="617">
        <f>'Sensitivity Analysis'!G3</f>
        <v>417.56</v>
      </c>
    </row>
    <row r="19" spans="2:15" ht="44" customHeight="1" x14ac:dyDescent="0.2">
      <c r="I19" s="602">
        <v>8.5000000000000006E-2</v>
      </c>
      <c r="J19" s="605">
        <f>'Sensitivity Analysis'!C4</f>
        <v>403.85</v>
      </c>
      <c r="K19" s="605">
        <f>'Sensitivity Analysis'!D4</f>
        <v>405.91</v>
      </c>
      <c r="L19" s="605">
        <f>'Sensitivity Analysis'!E4</f>
        <v>408.3</v>
      </c>
      <c r="M19" s="605">
        <f>'Sensitivity Analysis'!F4</f>
        <v>411.12</v>
      </c>
      <c r="N19" s="606">
        <f>'Sensitivity Analysis'!G4</f>
        <v>414.49</v>
      </c>
    </row>
    <row r="20" spans="2:15" ht="44" customHeight="1" x14ac:dyDescent="0.2">
      <c r="I20" s="602">
        <v>0.09</v>
      </c>
      <c r="J20" s="616">
        <f>'Sensitivity Analysis'!C5</f>
        <v>401.4</v>
      </c>
      <c r="K20" s="616">
        <f>'Sensitivity Analysis'!D5</f>
        <v>403.36</v>
      </c>
      <c r="L20" s="616">
        <f>'Sensitivity Analysis'!E5</f>
        <v>405.65</v>
      </c>
      <c r="M20" s="616">
        <f>'Sensitivity Analysis'!F5</f>
        <v>408.34</v>
      </c>
      <c r="N20" s="617">
        <f>'Sensitivity Analysis'!G5</f>
        <v>411.56</v>
      </c>
    </row>
    <row r="21" spans="2:15" ht="44" customHeight="1" x14ac:dyDescent="0.2">
      <c r="I21" s="602">
        <v>9.5000000000000001E-2</v>
      </c>
      <c r="J21" s="605">
        <f>'Sensitivity Analysis'!C6</f>
        <v>399.05</v>
      </c>
      <c r="K21" s="605">
        <f>'Sensitivity Analysis'!D6</f>
        <v>400.92</v>
      </c>
      <c r="L21" s="605">
        <f>'Sensitivity Analysis'!E6</f>
        <v>403.11</v>
      </c>
      <c r="M21" s="605">
        <f>'Sensitivity Analysis'!F6</f>
        <v>405.68</v>
      </c>
      <c r="N21" s="606">
        <f>'Sensitivity Analysis'!G6</f>
        <v>408.76</v>
      </c>
    </row>
    <row r="22" spans="2:15" ht="44" customHeight="1" thickBot="1" x14ac:dyDescent="0.25">
      <c r="B22" s="573" t="s">
        <v>529</v>
      </c>
      <c r="C22" s="553" t="s">
        <v>500</v>
      </c>
      <c r="D22" s="553" t="s">
        <v>501</v>
      </c>
      <c r="E22" s="553" t="s">
        <v>502</v>
      </c>
      <c r="F22" s="569"/>
      <c r="G22" s="569"/>
      <c r="I22" s="609">
        <v>0.1</v>
      </c>
      <c r="J22" s="618">
        <f>'Sensitivity Analysis'!C7</f>
        <v>396.79</v>
      </c>
      <c r="K22" s="618">
        <f>'Sensitivity Analysis'!D7</f>
        <v>398.59</v>
      </c>
      <c r="L22" s="618">
        <f>'Sensitivity Analysis'!E7</f>
        <v>400.67</v>
      </c>
      <c r="M22" s="618">
        <f>'Sensitivity Analysis'!F7</f>
        <v>403.13</v>
      </c>
      <c r="N22" s="619">
        <f>'Sensitivity Analysis'!G7</f>
        <v>406.07</v>
      </c>
    </row>
    <row r="23" spans="2:15" ht="29" customHeight="1" x14ac:dyDescent="0.2">
      <c r="B23" s="554" t="s">
        <v>521</v>
      </c>
      <c r="C23" s="571">
        <v>35.799999999999997</v>
      </c>
      <c r="D23" s="571">
        <v>51.6</v>
      </c>
      <c r="E23" s="571">
        <v>63.9</v>
      </c>
      <c r="F23" s="574"/>
      <c r="G23" s="574"/>
    </row>
    <row r="24" spans="2:15" ht="29" customHeight="1" x14ac:dyDescent="0.2">
      <c r="B24" s="558" t="s">
        <v>525</v>
      </c>
      <c r="C24" s="572">
        <v>26.8</v>
      </c>
      <c r="D24" s="572">
        <v>39.5</v>
      </c>
      <c r="E24" s="572">
        <v>50.2</v>
      </c>
      <c r="F24" s="570"/>
      <c r="G24" s="570"/>
      <c r="L24" t="s">
        <v>454</v>
      </c>
      <c r="M24" t="s">
        <v>532</v>
      </c>
      <c r="N24" t="s">
        <v>533</v>
      </c>
      <c r="O24" t="s">
        <v>534</v>
      </c>
    </row>
    <row r="25" spans="2:15" ht="29" customHeight="1" x14ac:dyDescent="0.2">
      <c r="B25" s="554" t="s">
        <v>526</v>
      </c>
      <c r="C25" s="556">
        <v>0.747</v>
      </c>
      <c r="D25" s="556">
        <v>0.76500000000000001</v>
      </c>
      <c r="E25" s="556">
        <v>0.78600000000000003</v>
      </c>
      <c r="F25" s="575"/>
      <c r="G25" s="575"/>
      <c r="L25" t="s">
        <v>4</v>
      </c>
      <c r="M25">
        <v>28.9</v>
      </c>
      <c r="N25">
        <v>6.9</v>
      </c>
      <c r="O25">
        <v>1.9</v>
      </c>
    </row>
    <row r="26" spans="2:15" ht="29" customHeight="1" x14ac:dyDescent="0.2">
      <c r="B26" s="558" t="s">
        <v>522</v>
      </c>
      <c r="C26" s="572">
        <v>20.3</v>
      </c>
      <c r="D26" s="572">
        <v>25.3</v>
      </c>
      <c r="E26" s="572">
        <v>34.9</v>
      </c>
      <c r="F26" s="570"/>
      <c r="G26" s="570"/>
      <c r="L26" t="s">
        <v>5</v>
      </c>
      <c r="M26">
        <v>35</v>
      </c>
      <c r="N26">
        <v>16.600000000000001</v>
      </c>
      <c r="O26">
        <v>2.7</v>
      </c>
    </row>
    <row r="27" spans="2:15" ht="29" customHeight="1" x14ac:dyDescent="0.2">
      <c r="B27" s="554" t="s">
        <v>519</v>
      </c>
      <c r="C27" s="556">
        <v>0.56599999999999995</v>
      </c>
      <c r="D27" s="556">
        <v>0.49</v>
      </c>
      <c r="E27" s="556">
        <v>0.54700000000000004</v>
      </c>
      <c r="F27" s="575"/>
      <c r="G27" s="575"/>
      <c r="L27" t="s">
        <v>6</v>
      </c>
      <c r="M27">
        <v>44.8</v>
      </c>
      <c r="N27">
        <v>19</v>
      </c>
      <c r="O27">
        <v>1.9</v>
      </c>
    </row>
    <row r="28" spans="2:15" ht="29" customHeight="1" x14ac:dyDescent="0.2">
      <c r="B28" s="558" t="s">
        <v>523</v>
      </c>
      <c r="C28" s="572">
        <v>14.1</v>
      </c>
      <c r="D28" s="572">
        <v>5.9</v>
      </c>
      <c r="E28" s="572">
        <v>23.1</v>
      </c>
      <c r="F28" s="570"/>
      <c r="G28" s="576"/>
      <c r="L28" t="s">
        <v>7</v>
      </c>
      <c r="M28">
        <v>67.3</v>
      </c>
      <c r="N28">
        <v>21.3</v>
      </c>
      <c r="O28">
        <v>1.4</v>
      </c>
    </row>
    <row r="29" spans="2:15" ht="29" customHeight="1" x14ac:dyDescent="0.2">
      <c r="B29" s="554" t="s">
        <v>527</v>
      </c>
      <c r="C29" s="571">
        <v>18.100000000000001</v>
      </c>
      <c r="D29" s="571">
        <v>20</v>
      </c>
      <c r="E29" s="571">
        <v>27.5</v>
      </c>
      <c r="F29" s="574"/>
      <c r="G29" s="574"/>
      <c r="L29" t="s">
        <v>8</v>
      </c>
      <c r="M29">
        <v>91.5</v>
      </c>
      <c r="N29">
        <v>23</v>
      </c>
      <c r="O29">
        <v>0.9</v>
      </c>
    </row>
    <row r="30" spans="2:15" ht="29" customHeight="1" x14ac:dyDescent="0.2">
      <c r="B30" s="558" t="s">
        <v>528</v>
      </c>
      <c r="C30" s="572">
        <v>452</v>
      </c>
      <c r="D30" s="572">
        <v>548</v>
      </c>
      <c r="E30" s="572">
        <v>623</v>
      </c>
      <c r="F30" s="570"/>
      <c r="G30" s="570"/>
      <c r="L30" t="s">
        <v>9</v>
      </c>
      <c r="M30">
        <v>111.6</v>
      </c>
      <c r="N30">
        <v>24.4</v>
      </c>
      <c r="O30">
        <v>0.7</v>
      </c>
    </row>
    <row r="31" spans="2:15" ht="29" customHeight="1" x14ac:dyDescent="0.2">
      <c r="B31" s="554" t="s">
        <v>524</v>
      </c>
      <c r="C31" s="571">
        <v>39.200000000000003</v>
      </c>
      <c r="D31" s="571">
        <v>67.599999999999994</v>
      </c>
      <c r="E31" s="571">
        <v>65.099999999999994</v>
      </c>
      <c r="F31" s="574"/>
      <c r="G31" s="574"/>
      <c r="L31" t="s">
        <v>531</v>
      </c>
      <c r="M31">
        <v>129.5</v>
      </c>
      <c r="N31">
        <v>25.6</v>
      </c>
      <c r="O31">
        <v>0.4</v>
      </c>
    </row>
    <row r="32" spans="2:15" ht="29" customHeight="1" x14ac:dyDescent="0.2">
      <c r="L32" t="s">
        <v>11</v>
      </c>
      <c r="M32">
        <v>145</v>
      </c>
      <c r="N32">
        <v>26.9</v>
      </c>
      <c r="O32">
        <v>0.3</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55D7-83CE-7A4F-8E94-7DE9652E1E67}">
  <sheetPr filterMode="1"/>
  <dimension ref="A1:B152"/>
  <sheetViews>
    <sheetView workbookViewId="0">
      <selection activeCell="P9" sqref="P9"/>
    </sheetView>
  </sheetViews>
  <sheetFormatPr baseColWidth="10" defaultRowHeight="16" x14ac:dyDescent="0.2"/>
  <cols>
    <col min="1" max="1" width="15" style="55" customWidth="1"/>
  </cols>
  <sheetData>
    <row r="1" spans="1:2" x14ac:dyDescent="0.2">
      <c r="A1" s="55" t="s">
        <v>390</v>
      </c>
      <c r="B1" t="s">
        <v>530</v>
      </c>
    </row>
    <row r="2" spans="1:2" ht="18" x14ac:dyDescent="0.2">
      <c r="A2" s="578">
        <v>46030</v>
      </c>
      <c r="B2" s="577">
        <v>332.48</v>
      </c>
    </row>
    <row r="3" spans="1:2" ht="18" x14ac:dyDescent="0.2">
      <c r="A3" s="578">
        <v>46029</v>
      </c>
      <c r="B3" s="577">
        <v>343.5</v>
      </c>
    </row>
    <row r="4" spans="1:2" ht="18" x14ac:dyDescent="0.2">
      <c r="A4" s="578">
        <v>46028</v>
      </c>
      <c r="B4" s="577">
        <v>343.77</v>
      </c>
    </row>
    <row r="5" spans="1:2" ht="18" x14ac:dyDescent="0.2">
      <c r="A5" s="578">
        <v>46027</v>
      </c>
      <c r="B5" s="577">
        <v>343.42</v>
      </c>
    </row>
    <row r="6" spans="1:2" ht="18" x14ac:dyDescent="0.2">
      <c r="A6" s="578">
        <v>46024</v>
      </c>
      <c r="B6" s="577">
        <v>347.62</v>
      </c>
    </row>
    <row r="7" spans="1:2" ht="18" x14ac:dyDescent="0.2">
      <c r="A7" s="578">
        <v>46022</v>
      </c>
      <c r="B7" s="577">
        <v>346.1</v>
      </c>
    </row>
    <row r="8" spans="1:2" ht="18" x14ac:dyDescent="0.2">
      <c r="A8" s="578">
        <v>46021</v>
      </c>
      <c r="B8" s="577">
        <v>349.85</v>
      </c>
    </row>
    <row r="9" spans="1:2" ht="18" x14ac:dyDescent="0.2">
      <c r="A9" s="578">
        <v>46020</v>
      </c>
      <c r="B9" s="577">
        <v>349.39</v>
      </c>
    </row>
    <row r="10" spans="1:2" ht="18" x14ac:dyDescent="0.2">
      <c r="A10" s="578">
        <v>46017</v>
      </c>
      <c r="B10" s="577">
        <v>352.13</v>
      </c>
    </row>
    <row r="11" spans="1:2" ht="18" x14ac:dyDescent="0.2">
      <c r="A11" s="578">
        <v>46015</v>
      </c>
      <c r="B11" s="577">
        <v>350.22</v>
      </c>
    </row>
    <row r="12" spans="1:2" ht="18" x14ac:dyDescent="0.2">
      <c r="A12" s="578">
        <v>46014</v>
      </c>
      <c r="B12" s="577">
        <v>349.32</v>
      </c>
    </row>
    <row r="13" spans="1:2" ht="18" hidden="1" x14ac:dyDescent="0.2">
      <c r="A13" s="578">
        <v>46013</v>
      </c>
    </row>
    <row r="14" spans="1:2" ht="18" x14ac:dyDescent="0.2">
      <c r="A14" s="578">
        <v>46013</v>
      </c>
      <c r="B14" s="577">
        <v>341.45</v>
      </c>
    </row>
    <row r="15" spans="1:2" ht="18" x14ac:dyDescent="0.2">
      <c r="A15" s="578">
        <v>46010</v>
      </c>
      <c r="B15" s="577">
        <v>340.36</v>
      </c>
    </row>
    <row r="16" spans="1:2" ht="18" x14ac:dyDescent="0.2">
      <c r="A16" s="578">
        <v>46009</v>
      </c>
      <c r="B16" s="577">
        <v>329.88</v>
      </c>
    </row>
    <row r="17" spans="1:2" ht="18" x14ac:dyDescent="0.2">
      <c r="A17" s="578">
        <v>46008</v>
      </c>
      <c r="B17" s="577">
        <v>326.02</v>
      </c>
    </row>
    <row r="18" spans="1:2" ht="18" x14ac:dyDescent="0.2">
      <c r="A18" s="578">
        <v>46007</v>
      </c>
      <c r="B18" s="577">
        <v>341.3</v>
      </c>
    </row>
    <row r="19" spans="1:2" ht="18" x14ac:dyDescent="0.2">
      <c r="A19" s="578">
        <v>46006</v>
      </c>
      <c r="B19" s="577">
        <v>339.81</v>
      </c>
    </row>
    <row r="20" spans="1:2" ht="18" x14ac:dyDescent="0.2">
      <c r="A20" s="578">
        <v>46003</v>
      </c>
      <c r="B20" s="577">
        <v>359.93</v>
      </c>
    </row>
    <row r="21" spans="1:2" ht="18" x14ac:dyDescent="0.2">
      <c r="A21" s="578">
        <v>46002</v>
      </c>
      <c r="B21" s="577">
        <v>406.37</v>
      </c>
    </row>
    <row r="22" spans="1:2" ht="18" x14ac:dyDescent="0.2">
      <c r="A22" s="578">
        <v>46001</v>
      </c>
      <c r="B22" s="577">
        <v>412.97</v>
      </c>
    </row>
    <row r="23" spans="1:2" ht="18" x14ac:dyDescent="0.2">
      <c r="A23" s="578">
        <v>46000</v>
      </c>
      <c r="B23" s="577">
        <v>406.29</v>
      </c>
    </row>
    <row r="24" spans="1:2" ht="18" x14ac:dyDescent="0.2">
      <c r="A24" s="578">
        <v>45999</v>
      </c>
      <c r="B24" s="577">
        <v>401.1</v>
      </c>
    </row>
    <row r="25" spans="1:2" ht="18" x14ac:dyDescent="0.2">
      <c r="A25" s="578">
        <v>45996</v>
      </c>
      <c r="B25" s="577">
        <v>390.24</v>
      </c>
    </row>
    <row r="26" spans="1:2" ht="18" x14ac:dyDescent="0.2">
      <c r="A26" s="578">
        <v>45995</v>
      </c>
      <c r="B26" s="577">
        <v>381.03</v>
      </c>
    </row>
    <row r="27" spans="1:2" ht="18" x14ac:dyDescent="0.2">
      <c r="A27" s="578">
        <v>45994</v>
      </c>
      <c r="B27" s="577">
        <v>380.61</v>
      </c>
    </row>
    <row r="28" spans="1:2" ht="18" x14ac:dyDescent="0.2">
      <c r="A28" s="578">
        <v>45993</v>
      </c>
      <c r="B28" s="577">
        <v>381.57</v>
      </c>
    </row>
    <row r="29" spans="1:2" ht="18" x14ac:dyDescent="0.2">
      <c r="A29" s="578">
        <v>45992</v>
      </c>
      <c r="B29" s="577">
        <v>386.08</v>
      </c>
    </row>
    <row r="30" spans="1:2" ht="18" x14ac:dyDescent="0.2">
      <c r="A30" s="578">
        <v>45989</v>
      </c>
      <c r="B30" s="577">
        <v>402.96</v>
      </c>
    </row>
    <row r="31" spans="1:2" ht="18" x14ac:dyDescent="0.2">
      <c r="A31" s="578">
        <v>45987</v>
      </c>
      <c r="B31" s="577">
        <v>397.57</v>
      </c>
    </row>
    <row r="32" spans="1:2" ht="18" x14ac:dyDescent="0.2">
      <c r="A32" s="578">
        <v>45986</v>
      </c>
      <c r="B32" s="577">
        <v>385.03</v>
      </c>
    </row>
    <row r="33" spans="1:2" ht="18" x14ac:dyDescent="0.2">
      <c r="A33" s="578">
        <v>45985</v>
      </c>
      <c r="B33" s="577">
        <v>377.96</v>
      </c>
    </row>
    <row r="34" spans="1:2" ht="18" x14ac:dyDescent="0.2">
      <c r="A34" s="578">
        <v>45982</v>
      </c>
      <c r="B34" s="577">
        <v>340.2</v>
      </c>
    </row>
    <row r="35" spans="1:2" ht="18" x14ac:dyDescent="0.2">
      <c r="A35" s="578">
        <v>45981</v>
      </c>
      <c r="B35" s="577">
        <v>346.82</v>
      </c>
    </row>
    <row r="36" spans="1:2" ht="18" x14ac:dyDescent="0.2">
      <c r="A36" s="578">
        <v>45980</v>
      </c>
      <c r="B36" s="577">
        <v>354.42</v>
      </c>
    </row>
    <row r="37" spans="1:2" ht="18" x14ac:dyDescent="0.2">
      <c r="A37" s="578">
        <v>45979</v>
      </c>
      <c r="B37" s="577">
        <v>340.5</v>
      </c>
    </row>
    <row r="38" spans="1:2" ht="18" x14ac:dyDescent="0.2">
      <c r="A38" s="578">
        <v>45978</v>
      </c>
      <c r="B38" s="577">
        <v>342.65</v>
      </c>
    </row>
    <row r="39" spans="1:2" ht="18" x14ac:dyDescent="0.2">
      <c r="A39" s="578">
        <v>45975</v>
      </c>
      <c r="B39" s="577">
        <v>342.46</v>
      </c>
    </row>
    <row r="40" spans="1:2" ht="18" x14ac:dyDescent="0.2">
      <c r="A40" s="578">
        <v>45974</v>
      </c>
      <c r="B40" s="577">
        <v>339.98</v>
      </c>
    </row>
    <row r="41" spans="1:2" ht="18" x14ac:dyDescent="0.2">
      <c r="A41" s="578">
        <v>45973</v>
      </c>
      <c r="B41" s="577">
        <v>355.22</v>
      </c>
    </row>
    <row r="42" spans="1:2" ht="18" x14ac:dyDescent="0.2">
      <c r="A42" s="578">
        <v>45972</v>
      </c>
      <c r="B42" s="577">
        <v>351.96</v>
      </c>
    </row>
    <row r="43" spans="1:2" ht="18" x14ac:dyDescent="0.2">
      <c r="A43" s="578">
        <v>45971</v>
      </c>
      <c r="B43" s="577">
        <v>358.39</v>
      </c>
    </row>
    <row r="44" spans="1:2" ht="18" x14ac:dyDescent="0.2">
      <c r="A44" s="578">
        <v>45968</v>
      </c>
      <c r="B44" s="577">
        <v>349.43</v>
      </c>
    </row>
    <row r="45" spans="1:2" ht="18" x14ac:dyDescent="0.2">
      <c r="A45" s="578">
        <v>45967</v>
      </c>
      <c r="B45" s="577">
        <v>355.59</v>
      </c>
    </row>
    <row r="46" spans="1:2" ht="18" x14ac:dyDescent="0.2">
      <c r="A46" s="578">
        <v>45966</v>
      </c>
      <c r="B46" s="577">
        <v>358.98</v>
      </c>
    </row>
    <row r="47" spans="1:2" ht="18" x14ac:dyDescent="0.2">
      <c r="A47" s="578">
        <v>45965</v>
      </c>
      <c r="B47" s="577">
        <v>351.94</v>
      </c>
    </row>
    <row r="48" spans="1:2" ht="18" x14ac:dyDescent="0.2">
      <c r="A48" s="578">
        <v>45964</v>
      </c>
      <c r="B48" s="577">
        <v>362.55</v>
      </c>
    </row>
    <row r="49" spans="1:2" ht="18" x14ac:dyDescent="0.2">
      <c r="A49" s="578">
        <v>45961</v>
      </c>
      <c r="B49" s="577">
        <v>369.63</v>
      </c>
    </row>
    <row r="50" spans="1:2" ht="18" x14ac:dyDescent="0.2">
      <c r="A50" s="578">
        <v>45960</v>
      </c>
      <c r="B50" s="577">
        <v>376.47</v>
      </c>
    </row>
    <row r="51" spans="1:2" ht="18" x14ac:dyDescent="0.2">
      <c r="A51" s="578">
        <v>45959</v>
      </c>
      <c r="B51" s="577">
        <v>385.98</v>
      </c>
    </row>
    <row r="52" spans="1:2" ht="18" x14ac:dyDescent="0.2">
      <c r="A52" s="578">
        <v>45958</v>
      </c>
      <c r="B52" s="577">
        <v>372.97</v>
      </c>
    </row>
    <row r="53" spans="1:2" ht="18" x14ac:dyDescent="0.2">
      <c r="A53" s="578">
        <v>45957</v>
      </c>
      <c r="B53" s="577">
        <v>362.05</v>
      </c>
    </row>
    <row r="54" spans="1:2" ht="18" x14ac:dyDescent="0.2">
      <c r="A54" s="578">
        <v>45954</v>
      </c>
      <c r="B54" s="577">
        <v>354.13</v>
      </c>
    </row>
    <row r="55" spans="1:2" ht="18" x14ac:dyDescent="0.2">
      <c r="A55" s="578">
        <v>45953</v>
      </c>
      <c r="B55" s="577">
        <v>344.29</v>
      </c>
    </row>
    <row r="56" spans="1:2" ht="18" x14ac:dyDescent="0.2">
      <c r="A56" s="578">
        <v>45952</v>
      </c>
      <c r="B56" s="577">
        <v>340.3</v>
      </c>
    </row>
    <row r="57" spans="1:2" ht="18" x14ac:dyDescent="0.2">
      <c r="A57" s="578">
        <v>45951</v>
      </c>
      <c r="B57" s="577">
        <v>342.66</v>
      </c>
    </row>
    <row r="58" spans="1:2" ht="18" x14ac:dyDescent="0.2">
      <c r="A58" s="578">
        <v>45950</v>
      </c>
      <c r="B58" s="577">
        <v>349.24</v>
      </c>
    </row>
    <row r="59" spans="1:2" ht="18" x14ac:dyDescent="0.2">
      <c r="A59" s="578">
        <v>45947</v>
      </c>
      <c r="B59" s="577">
        <v>349.33</v>
      </c>
    </row>
    <row r="60" spans="1:2" ht="18" x14ac:dyDescent="0.2">
      <c r="A60" s="578">
        <v>45946</v>
      </c>
      <c r="B60" s="577">
        <v>354.15</v>
      </c>
    </row>
    <row r="61" spans="1:2" ht="18" x14ac:dyDescent="0.2">
      <c r="A61" s="578">
        <v>45945</v>
      </c>
      <c r="B61" s="577">
        <v>351.33</v>
      </c>
    </row>
    <row r="62" spans="1:2" ht="18" x14ac:dyDescent="0.2">
      <c r="A62" s="578">
        <v>45944</v>
      </c>
      <c r="B62" s="577">
        <v>344.13</v>
      </c>
    </row>
    <row r="63" spans="1:2" ht="18" x14ac:dyDescent="0.2">
      <c r="A63" s="578">
        <v>45943</v>
      </c>
      <c r="B63" s="577">
        <v>356.7</v>
      </c>
    </row>
    <row r="64" spans="1:2" ht="18" x14ac:dyDescent="0.2">
      <c r="A64" s="578">
        <v>45940</v>
      </c>
      <c r="B64" s="577">
        <v>324.63</v>
      </c>
    </row>
    <row r="65" spans="1:2" ht="18" x14ac:dyDescent="0.2">
      <c r="A65" s="578">
        <v>45939</v>
      </c>
      <c r="B65" s="577">
        <v>345.02</v>
      </c>
    </row>
    <row r="66" spans="1:2" ht="18" x14ac:dyDescent="0.2">
      <c r="A66" s="578">
        <v>45938</v>
      </c>
      <c r="B66" s="577">
        <v>345.5</v>
      </c>
    </row>
    <row r="67" spans="1:2" ht="18" x14ac:dyDescent="0.2">
      <c r="A67" s="578">
        <v>45937</v>
      </c>
      <c r="B67" s="577">
        <v>336.41</v>
      </c>
    </row>
    <row r="68" spans="1:2" ht="18" x14ac:dyDescent="0.2">
      <c r="A68" s="578">
        <v>45936</v>
      </c>
      <c r="B68" s="577">
        <v>335.49</v>
      </c>
    </row>
    <row r="69" spans="1:2" ht="18" x14ac:dyDescent="0.2">
      <c r="A69" s="578">
        <v>45933</v>
      </c>
      <c r="B69" s="577">
        <v>338.37</v>
      </c>
    </row>
    <row r="70" spans="1:2" ht="18" x14ac:dyDescent="0.2">
      <c r="A70" s="578">
        <v>45932</v>
      </c>
      <c r="B70" s="577">
        <v>338.18</v>
      </c>
    </row>
    <row r="71" spans="1:2" ht="18" x14ac:dyDescent="0.2">
      <c r="A71" s="578">
        <v>45931</v>
      </c>
      <c r="B71" s="577">
        <v>333.39</v>
      </c>
    </row>
    <row r="72" spans="1:2" ht="18" x14ac:dyDescent="0.2">
      <c r="A72" s="578">
        <v>45930</v>
      </c>
      <c r="B72" s="577">
        <v>329.91</v>
      </c>
    </row>
    <row r="73" spans="1:2" ht="18" x14ac:dyDescent="0.2">
      <c r="A73" s="578">
        <v>45929</v>
      </c>
      <c r="B73" s="577">
        <v>327.9</v>
      </c>
    </row>
    <row r="74" spans="1:2" ht="18" x14ac:dyDescent="0.2">
      <c r="A74" s="578">
        <v>45926</v>
      </c>
      <c r="B74" s="577">
        <v>334.53</v>
      </c>
    </row>
    <row r="75" spans="1:2" ht="18" x14ac:dyDescent="0.2">
      <c r="A75" s="578">
        <v>45925</v>
      </c>
      <c r="B75" s="577">
        <v>336.1</v>
      </c>
    </row>
    <row r="76" spans="1:2" ht="18" x14ac:dyDescent="0.2">
      <c r="A76" s="578">
        <v>45924</v>
      </c>
      <c r="B76" s="577">
        <v>339.31</v>
      </c>
    </row>
    <row r="77" spans="1:2" ht="18" x14ac:dyDescent="0.2">
      <c r="A77" s="578">
        <v>45923</v>
      </c>
      <c r="B77" s="577">
        <v>338.94</v>
      </c>
    </row>
    <row r="78" spans="1:2" ht="18" hidden="1" x14ac:dyDescent="0.2">
      <c r="A78" s="578">
        <v>45922</v>
      </c>
    </row>
    <row r="79" spans="1:2" ht="18" x14ac:dyDescent="0.2">
      <c r="A79" s="578">
        <v>45922</v>
      </c>
      <c r="B79" s="577">
        <v>338.79</v>
      </c>
    </row>
    <row r="80" spans="1:2" ht="18" x14ac:dyDescent="0.2">
      <c r="A80" s="578">
        <v>45919</v>
      </c>
      <c r="B80" s="577">
        <v>344.94</v>
      </c>
    </row>
    <row r="81" spans="1:2" ht="18" x14ac:dyDescent="0.2">
      <c r="A81" s="578">
        <v>45918</v>
      </c>
      <c r="B81" s="577">
        <v>345.35</v>
      </c>
    </row>
    <row r="82" spans="1:2" ht="18" x14ac:dyDescent="0.2">
      <c r="A82" s="578">
        <v>45917</v>
      </c>
      <c r="B82" s="577">
        <v>346.17</v>
      </c>
    </row>
    <row r="83" spans="1:2" ht="18" x14ac:dyDescent="0.2">
      <c r="A83" s="578">
        <v>45916</v>
      </c>
      <c r="B83" s="577">
        <v>360</v>
      </c>
    </row>
    <row r="84" spans="1:2" ht="18" x14ac:dyDescent="0.2">
      <c r="A84" s="578">
        <v>45915</v>
      </c>
      <c r="B84" s="577">
        <v>364.09</v>
      </c>
    </row>
    <row r="85" spans="1:2" ht="18" x14ac:dyDescent="0.2">
      <c r="A85" s="578">
        <v>45912</v>
      </c>
      <c r="B85" s="577">
        <v>359.87</v>
      </c>
    </row>
    <row r="86" spans="1:2" ht="18" x14ac:dyDescent="0.2">
      <c r="A86" s="578">
        <v>45911</v>
      </c>
      <c r="B86" s="577">
        <v>359.63</v>
      </c>
    </row>
    <row r="87" spans="1:2" ht="18" x14ac:dyDescent="0.2">
      <c r="A87" s="578">
        <v>45910</v>
      </c>
      <c r="B87" s="577">
        <v>369.57</v>
      </c>
    </row>
    <row r="88" spans="1:2" ht="18" x14ac:dyDescent="0.2">
      <c r="A88" s="578">
        <v>45909</v>
      </c>
      <c r="B88" s="577">
        <v>336.67</v>
      </c>
    </row>
    <row r="89" spans="1:2" ht="18" x14ac:dyDescent="0.2">
      <c r="A89" s="578">
        <v>45908</v>
      </c>
      <c r="B89" s="577">
        <v>345.65</v>
      </c>
    </row>
    <row r="90" spans="1:2" ht="18" x14ac:dyDescent="0.2">
      <c r="A90" s="578">
        <v>45905</v>
      </c>
      <c r="B90" s="577">
        <v>334.89</v>
      </c>
    </row>
    <row r="91" spans="1:2" ht="18" x14ac:dyDescent="0.2">
      <c r="A91" s="578">
        <v>45904</v>
      </c>
      <c r="B91" s="577">
        <v>306.10000000000002</v>
      </c>
    </row>
    <row r="92" spans="1:2" ht="18" x14ac:dyDescent="0.2">
      <c r="A92" s="578">
        <v>45903</v>
      </c>
      <c r="B92" s="577">
        <v>302.39</v>
      </c>
    </row>
    <row r="93" spans="1:2" ht="18" x14ac:dyDescent="0.2">
      <c r="A93" s="578">
        <v>45902</v>
      </c>
      <c r="B93" s="577">
        <v>298.24</v>
      </c>
    </row>
    <row r="94" spans="1:2" ht="18" x14ac:dyDescent="0.2">
      <c r="A94" s="578">
        <v>45898</v>
      </c>
      <c r="B94" s="577">
        <v>297.39</v>
      </c>
    </row>
    <row r="95" spans="1:2" ht="18" x14ac:dyDescent="0.2">
      <c r="A95" s="578">
        <v>45897</v>
      </c>
      <c r="B95" s="577">
        <v>308.64999999999998</v>
      </c>
    </row>
    <row r="96" spans="1:2" ht="18" x14ac:dyDescent="0.2">
      <c r="A96" s="578">
        <v>45896</v>
      </c>
      <c r="B96" s="577">
        <v>300.25</v>
      </c>
    </row>
    <row r="97" spans="1:2" ht="18" x14ac:dyDescent="0.2">
      <c r="A97" s="578">
        <v>45895</v>
      </c>
      <c r="B97" s="577">
        <v>298.01</v>
      </c>
    </row>
    <row r="98" spans="1:2" ht="18" x14ac:dyDescent="0.2">
      <c r="A98" s="578">
        <v>45894</v>
      </c>
      <c r="B98" s="577">
        <v>294.23</v>
      </c>
    </row>
    <row r="99" spans="1:2" ht="18" x14ac:dyDescent="0.2">
      <c r="A99" s="578">
        <v>45891</v>
      </c>
      <c r="B99" s="577">
        <v>294</v>
      </c>
    </row>
    <row r="100" spans="1:2" ht="18" x14ac:dyDescent="0.2">
      <c r="A100" s="578">
        <v>45890</v>
      </c>
      <c r="B100" s="577">
        <v>289.60000000000002</v>
      </c>
    </row>
    <row r="101" spans="1:2" ht="18" x14ac:dyDescent="0.2">
      <c r="A101" s="578">
        <v>45889</v>
      </c>
      <c r="B101" s="577">
        <v>291.17</v>
      </c>
    </row>
    <row r="102" spans="1:2" ht="18" x14ac:dyDescent="0.2">
      <c r="A102" s="578">
        <v>45888</v>
      </c>
      <c r="B102" s="577">
        <v>294.91000000000003</v>
      </c>
    </row>
    <row r="103" spans="1:2" ht="18" x14ac:dyDescent="0.2">
      <c r="A103" s="578">
        <v>45887</v>
      </c>
      <c r="B103" s="577">
        <v>305.76</v>
      </c>
    </row>
    <row r="104" spans="1:2" ht="18" x14ac:dyDescent="0.2">
      <c r="A104" s="578">
        <v>45884</v>
      </c>
      <c r="B104" s="577">
        <v>306.33999999999997</v>
      </c>
    </row>
    <row r="105" spans="1:2" ht="18" x14ac:dyDescent="0.2">
      <c r="A105" s="578">
        <v>45883</v>
      </c>
      <c r="B105" s="577">
        <v>311.23</v>
      </c>
    </row>
    <row r="106" spans="1:2" ht="18" x14ac:dyDescent="0.2">
      <c r="A106" s="578">
        <v>45882</v>
      </c>
      <c r="B106" s="577">
        <v>309.08999999999997</v>
      </c>
    </row>
    <row r="107" spans="1:2" ht="18" x14ac:dyDescent="0.2">
      <c r="A107" s="578">
        <v>45881</v>
      </c>
      <c r="B107" s="577">
        <v>312.83</v>
      </c>
    </row>
    <row r="108" spans="1:2" ht="18" x14ac:dyDescent="0.2">
      <c r="A108" s="578">
        <v>45880</v>
      </c>
      <c r="B108" s="577">
        <v>303.89999999999998</v>
      </c>
    </row>
    <row r="109" spans="1:2" ht="18" x14ac:dyDescent="0.2">
      <c r="A109" s="578">
        <v>45877</v>
      </c>
      <c r="B109" s="577">
        <v>304.97000000000003</v>
      </c>
    </row>
    <row r="110" spans="1:2" ht="18" x14ac:dyDescent="0.2">
      <c r="A110" s="578">
        <v>45876</v>
      </c>
      <c r="B110" s="577">
        <v>303.76</v>
      </c>
    </row>
    <row r="111" spans="1:2" ht="18" x14ac:dyDescent="0.2">
      <c r="A111" s="578">
        <v>45875</v>
      </c>
      <c r="B111" s="577">
        <v>301.67</v>
      </c>
    </row>
    <row r="112" spans="1:2" ht="18" x14ac:dyDescent="0.2">
      <c r="A112" s="578">
        <v>45874</v>
      </c>
      <c r="B112" s="577">
        <v>292.93</v>
      </c>
    </row>
    <row r="113" spans="1:2" ht="18" x14ac:dyDescent="0.2">
      <c r="A113" s="578">
        <v>45873</v>
      </c>
      <c r="B113" s="577">
        <v>297.72000000000003</v>
      </c>
    </row>
    <row r="114" spans="1:2" ht="18" x14ac:dyDescent="0.2">
      <c r="A114" s="578">
        <v>45870</v>
      </c>
      <c r="B114" s="577">
        <v>288.64</v>
      </c>
    </row>
    <row r="115" spans="1:2" ht="18" x14ac:dyDescent="0.2">
      <c r="A115" s="578">
        <v>45869</v>
      </c>
      <c r="B115" s="577">
        <v>293.7</v>
      </c>
    </row>
    <row r="116" spans="1:2" ht="18" x14ac:dyDescent="0.2">
      <c r="A116" s="578">
        <v>45868</v>
      </c>
      <c r="B116" s="577">
        <v>302.62</v>
      </c>
    </row>
    <row r="117" spans="1:2" ht="18" x14ac:dyDescent="0.2">
      <c r="A117" s="578">
        <v>45867</v>
      </c>
      <c r="B117" s="577">
        <v>297.42</v>
      </c>
    </row>
    <row r="118" spans="1:2" ht="18" x14ac:dyDescent="0.2">
      <c r="A118" s="578">
        <v>45866</v>
      </c>
      <c r="B118" s="577">
        <v>294.3</v>
      </c>
    </row>
    <row r="119" spans="1:2" ht="18" x14ac:dyDescent="0.2">
      <c r="A119" s="578">
        <v>45863</v>
      </c>
      <c r="B119" s="577">
        <v>290.18</v>
      </c>
    </row>
    <row r="120" spans="1:2" ht="18" x14ac:dyDescent="0.2">
      <c r="A120" s="578">
        <v>45862</v>
      </c>
      <c r="B120" s="577">
        <v>288.70999999999998</v>
      </c>
    </row>
    <row r="121" spans="1:2" ht="18" x14ac:dyDescent="0.2">
      <c r="A121" s="578">
        <v>45861</v>
      </c>
      <c r="B121" s="577">
        <v>283.69</v>
      </c>
    </row>
    <row r="122" spans="1:2" ht="18" x14ac:dyDescent="0.2">
      <c r="A122" s="578">
        <v>45860</v>
      </c>
      <c r="B122" s="577">
        <v>278.58999999999997</v>
      </c>
    </row>
    <row r="123" spans="1:2" ht="18" x14ac:dyDescent="0.2">
      <c r="A123" s="578">
        <v>45859</v>
      </c>
      <c r="B123" s="577">
        <v>288.20999999999998</v>
      </c>
    </row>
    <row r="124" spans="1:2" ht="18" x14ac:dyDescent="0.2">
      <c r="A124" s="578">
        <v>45856</v>
      </c>
      <c r="B124" s="577">
        <v>283.33999999999997</v>
      </c>
    </row>
    <row r="125" spans="1:2" ht="18" x14ac:dyDescent="0.2">
      <c r="A125" s="578">
        <v>45855</v>
      </c>
      <c r="B125" s="577">
        <v>286.45</v>
      </c>
    </row>
    <row r="126" spans="1:2" ht="18" x14ac:dyDescent="0.2">
      <c r="A126" s="578">
        <v>45854</v>
      </c>
      <c r="B126" s="577">
        <v>280.81</v>
      </c>
    </row>
    <row r="127" spans="1:2" ht="18" x14ac:dyDescent="0.2">
      <c r="A127" s="578">
        <v>45853</v>
      </c>
      <c r="B127" s="577">
        <v>280.94</v>
      </c>
    </row>
    <row r="128" spans="1:2" ht="18" x14ac:dyDescent="0.2">
      <c r="A128" s="578">
        <v>45852</v>
      </c>
      <c r="B128" s="577">
        <v>275.60000000000002</v>
      </c>
    </row>
    <row r="129" spans="1:2" ht="18" x14ac:dyDescent="0.2">
      <c r="A129" s="578">
        <v>45849</v>
      </c>
      <c r="B129" s="577">
        <v>274.38</v>
      </c>
    </row>
    <row r="130" spans="1:2" ht="18" x14ac:dyDescent="0.2">
      <c r="A130" s="578">
        <v>45848</v>
      </c>
      <c r="B130" s="577">
        <v>275.39999999999998</v>
      </c>
    </row>
    <row r="131" spans="1:2" ht="18" x14ac:dyDescent="0.2">
      <c r="A131" s="578">
        <v>45847</v>
      </c>
      <c r="B131" s="577">
        <v>277.89999999999998</v>
      </c>
    </row>
    <row r="132" spans="1:2" ht="18" x14ac:dyDescent="0.2">
      <c r="A132" s="578">
        <v>45846</v>
      </c>
      <c r="B132" s="577">
        <v>271.8</v>
      </c>
    </row>
    <row r="133" spans="1:2" ht="18" x14ac:dyDescent="0.2">
      <c r="A133" s="578">
        <v>45845</v>
      </c>
      <c r="B133" s="577">
        <v>274.18</v>
      </c>
    </row>
    <row r="134" spans="1:2" ht="18" x14ac:dyDescent="0.2">
      <c r="A134" s="578">
        <v>45841</v>
      </c>
      <c r="B134" s="577">
        <v>275.18</v>
      </c>
    </row>
    <row r="135" spans="1:2" ht="18" x14ac:dyDescent="0.2">
      <c r="A135" s="578">
        <v>45840</v>
      </c>
      <c r="B135" s="577">
        <v>269.89999999999998</v>
      </c>
    </row>
    <row r="136" spans="1:2" ht="18" x14ac:dyDescent="0.2">
      <c r="A136" s="578">
        <v>45839</v>
      </c>
      <c r="B136" s="577">
        <v>264.74</v>
      </c>
    </row>
    <row r="137" spans="1:2" ht="18" x14ac:dyDescent="0.2">
      <c r="A137" s="578">
        <v>45838</v>
      </c>
      <c r="B137" s="577">
        <v>275.64999999999998</v>
      </c>
    </row>
    <row r="138" spans="1:2" ht="18" x14ac:dyDescent="0.2">
      <c r="A138" s="578">
        <v>45835</v>
      </c>
      <c r="B138" s="577">
        <v>269.35000000000002</v>
      </c>
    </row>
    <row r="139" spans="1:2" ht="18" x14ac:dyDescent="0.2">
      <c r="A139" s="578">
        <v>45834</v>
      </c>
      <c r="B139" s="577">
        <v>270.17</v>
      </c>
    </row>
    <row r="140" spans="1:2" ht="18" x14ac:dyDescent="0.2">
      <c r="A140" s="578">
        <v>45833</v>
      </c>
      <c r="B140" s="577">
        <v>264.64999999999998</v>
      </c>
    </row>
    <row r="141" spans="1:2" ht="18" x14ac:dyDescent="0.2">
      <c r="A141" s="578">
        <v>45832</v>
      </c>
      <c r="B141" s="577">
        <v>263.77</v>
      </c>
    </row>
    <row r="142" spans="1:2" ht="18" x14ac:dyDescent="0.2">
      <c r="A142" s="578">
        <v>45831</v>
      </c>
      <c r="B142" s="577">
        <v>253.77</v>
      </c>
    </row>
    <row r="143" spans="1:2" ht="18" hidden="1" x14ac:dyDescent="0.2">
      <c r="A143" s="578">
        <v>45828</v>
      </c>
    </row>
    <row r="144" spans="1:2" ht="18" x14ac:dyDescent="0.2">
      <c r="A144" s="578">
        <v>45828</v>
      </c>
      <c r="B144" s="577">
        <v>249.99</v>
      </c>
    </row>
    <row r="145" spans="1:2" ht="18" x14ac:dyDescent="0.2">
      <c r="A145" s="578">
        <v>45826</v>
      </c>
      <c r="B145" s="577">
        <v>251.26</v>
      </c>
    </row>
    <row r="146" spans="1:2" ht="18" x14ac:dyDescent="0.2">
      <c r="A146" s="578">
        <v>45825</v>
      </c>
      <c r="B146" s="577">
        <v>249.37</v>
      </c>
    </row>
    <row r="147" spans="1:2" ht="18" x14ac:dyDescent="0.2">
      <c r="A147" s="578">
        <v>45824</v>
      </c>
      <c r="B147" s="577">
        <v>252.1</v>
      </c>
    </row>
    <row r="148" spans="1:2" ht="18" x14ac:dyDescent="0.2">
      <c r="A148" s="578">
        <v>45821</v>
      </c>
      <c r="B148" s="577">
        <v>248.7</v>
      </c>
    </row>
    <row r="149" spans="1:2" ht="18" x14ac:dyDescent="0.2">
      <c r="A149" s="578">
        <v>45820</v>
      </c>
      <c r="B149" s="577">
        <v>256.07</v>
      </c>
    </row>
    <row r="150" spans="1:2" ht="18" x14ac:dyDescent="0.2">
      <c r="A150" s="578">
        <v>45819</v>
      </c>
      <c r="B150" s="577">
        <v>252.91</v>
      </c>
    </row>
    <row r="151" spans="1:2" ht="18" x14ac:dyDescent="0.2">
      <c r="A151" s="578">
        <v>45818</v>
      </c>
      <c r="B151" s="577">
        <v>244.63</v>
      </c>
    </row>
    <row r="152" spans="1:2" ht="18" x14ac:dyDescent="0.2">
      <c r="A152" s="578">
        <v>45817</v>
      </c>
      <c r="B152" s="577">
        <v>244.28</v>
      </c>
    </row>
  </sheetData>
  <autoFilter ref="A1:B152" xr:uid="{B60B55D7-83CE-7A4F-8E94-7DE9652E1E67}">
    <filterColumn colId="1">
      <customFilters>
        <customFilter operator="notEqual" val=" "/>
      </customFilters>
    </filterColumn>
  </autoFilter>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Valuation Project</vt:lpstr>
      <vt:lpstr>Valuation=Market</vt:lpstr>
      <vt:lpstr>Comp Analysis Template</vt:lpstr>
      <vt:lpstr>Ke Related Data</vt:lpstr>
      <vt:lpstr>Sensitivity Analysis</vt:lpstr>
      <vt:lpstr>Charts</vt:lpstr>
      <vt:lpstr>6 Month Preformace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Moyer</dc:creator>
  <cp:keywords/>
  <dc:description/>
  <cp:lastModifiedBy>Marc Bou Malhab</cp:lastModifiedBy>
  <cp:revision/>
  <dcterms:created xsi:type="dcterms:W3CDTF">2021-09-23T16:28:33Z</dcterms:created>
  <dcterms:modified xsi:type="dcterms:W3CDTF">2026-02-25T22:00:20Z</dcterms:modified>
  <cp:category/>
  <cp:contentStatus/>
</cp:coreProperties>
</file>